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3dcf9faaa40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设计结果" sheetId="1" r:id="Rc679de61834147d0"/>
    <x:sheet xmlns:r="http://schemas.openxmlformats.org/officeDocument/2006/relationships" name="参数" sheetId="2" r:id="R3aa214186ff54da7"/>
    <x:sheet xmlns:r="http://schemas.openxmlformats.org/officeDocument/2006/relationships" name="烽火参照" sheetId="3" r:id="R94b7f2077bca49be"/>
    <x:sheet xmlns:r="http://schemas.openxmlformats.org/officeDocument/2006/relationships" name="伤害计算" sheetId="4" r:id="R2a4ee79bd1234fb8"/>
    <x:sheet xmlns:r="http://schemas.openxmlformats.org/officeDocument/2006/relationships" name="回合现金" sheetId="5" r:id="R9d96f0196d92417d"/>
    <x:sheet xmlns:r="http://schemas.openxmlformats.org/officeDocument/2006/relationships" name="观察与来源" sheetId="6" r:id="Re4023b67a5374c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"/>
    <x:numFmt numFmtId="201" formatCode="#,##0"/>
    <x:numFmt numFmtId="202" formatCode="0.000"/>
    <x:numFmt numFmtId="203" formatCode="0.0%"/>
    <x:numFmt numFmtId="204" formatCode="0.0"/>
  </x:numFmts>
  <x:fonts count="5">
    <x:font>
      <x:sz val="11"/>
      <x:name val="Carlito"/>
    </x:font>
    <x:font>
      <x:sz val="11"/>
      <x:color rgb="FF232D34"/>
      <x:name val="Arial"/>
    </x:font>
    <x:font>
      <x:b/>
      <x:sz val="16"/>
      <x:color rgb="FF233B43"/>
      <x:name val="Arial"/>
    </x:font>
    <x:font>
      <x:b/>
      <x:sz val="11"/>
      <x:color rgb="FFFFFFFF"/>
      <x:name val="Arial"/>
    </x:font>
    <x:font>
      <x:b/>
      <x:sz val="11"/>
      <x:color rgb="FF232D3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33B43"/>
      </x:patternFill>
    </x:fill>
    <x:fill>
      <x:patternFill patternType="solid">
        <x:fgColor rgb="FFFFF2D0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83918C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D442E"/>
      </x:font>
      <x:fill>
        <x:patternFill patternType="solid">
          <x:bgColor rgb="FFFBE5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75edb64f4a4275" /><Relationship Type="http://schemas.openxmlformats.org/officeDocument/2006/relationships/theme" Target="/xl/theme/theme1.xml" Id="R538639eecd9e49f2" /><Relationship Type="http://schemas.openxmlformats.org/officeDocument/2006/relationships/sharedStrings" Target="/xl/sharedStrings.xml" Id="R2518ebea4cd94f7f" /><Relationship Type="http://schemas.openxmlformats.org/officeDocument/2006/relationships/worksheet" Target="/xl/worksheets/sheet1.xml" Id="Rc679de61834147d0" /><Relationship Type="http://schemas.openxmlformats.org/officeDocument/2006/relationships/worksheet" Target="/xl/worksheets/sheet2.xml" Id="R3aa214186ff54da7" /><Relationship Type="http://schemas.openxmlformats.org/officeDocument/2006/relationships/worksheet" Target="/xl/worksheets/sheet3.xml" Id="R94b7f2077bca49be" /><Relationship Type="http://schemas.openxmlformats.org/officeDocument/2006/relationships/worksheet" Target="/xl/worksheets/sheet4.xml" Id="R2a4ee79bd1234fb8" /><Relationship Type="http://schemas.openxmlformats.org/officeDocument/2006/relationships/worksheet" Target="/xl/worksheets/sheet5.xml" Id="R9d96f0196d92417d" /><Relationship Type="http://schemas.openxmlformats.org/officeDocument/2006/relationships/worksheet" Target="/xl/worksheets/sheet6.xml" Id="Re4023b67a5374c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3B43"/>
  </x:sheetPr>
  <x:sheetViews>
    <x:sheetView showGridLines="0" workbookViewId="0"/>
  </x:sheetViews>
  <x:sheetFormatPr defaultRowHeight="15"/>
  <x:cols>
    <x:col min="1" max="1" width="27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23" customHeight="1">
      <x:c r="A2" s="4" t="str">
        <x:v>BREN 3 新枪设计模型</x:v>
      </x:c>
      <x:c r="B2" s="4"/>
      <x:c r="C2" s="4"/>
      <x:c r="D2" s="4"/>
      <x:c r="E2" s="4"/>
      <x:c r="F2" s="4"/>
      <x:c r="G2" s="4"/>
      <x:c r="H2" s="4"/>
    </x:row>
    <x:row r="3" ht="23" customHeight="1">
      <x:c r="A3" s="2" t="str">
        <x:v>2026.10.12。现实原型，游戏初值；本表BTK采用烽火参照。黄色为可编辑输入。</x:v>
      </x:c>
      <x:c r="B3" s="2"/>
      <x:c r="C3" s="2"/>
      <x:c r="D3" s="2"/>
      <x:c r="E3" s="2"/>
      <x:c r="F3" s="2"/>
      <x:c r="G3" s="2"/>
      <x:c r="H3" s="2"/>
    </x:row>
    <x:row r="4" ht="23" customHeight="1">
      <x:c r="A4" s="2"/>
      <x:c r="B4" s="2"/>
      <x:c r="C4" s="2"/>
      <x:c r="D4" s="2"/>
      <x:c r="E4" s="2"/>
      <x:c r="F4" s="2"/>
      <x:c r="G4" s="2"/>
      <x:c r="H4" s="2"/>
    </x:row>
    <x:row r="5" ht="30" customHeight="1">
      <x:c r="A5" s="8" t="str">
        <x:v>方案</x:v>
      </x:c>
      <x:c r="B5" s="8" t="str">
        <x:v>黑潮枪价</x:v>
      </x:c>
      <x:c r="C5" s="8" t="str">
        <x:v>举镜 ms</x:v>
      </x:c>
      <x:c r="D5" s="8" t="str">
        <x:v>弹匣 发</x:v>
      </x:c>
      <x:c r="E5" s="8" t="str">
        <x:v>烽火30m胸 BTK</x:v>
      </x:c>
      <x:c r="F5" s="8" t="str">
        <x:v>烽火50m胸 BTK</x:v>
      </x:c>
      <x:c r="G5" s="8" t="str">
        <x:v>30m单匣容量估计</x:v>
      </x:c>
      <x:c r="H5" s="8" t="str">
        <x:v>理想持续肉伤/s</x:v>
      </x:c>
    </x:row>
    <x:row r="6" ht="23" customHeight="1">
      <x:c r="A6" s="2" t="str">
        <x:f>'参数'!A5</x:f>
        <x:v>BREN 3 标准型</x:v>
      </x:c>
      <x:c r="B6" s="13" t="n">
        <x:f>'参数'!N5</x:f>
        <x:v>2600</x:v>
      </x:c>
      <x:c r="C6" s="2" t="n">
        <x:f>'参数'!J5</x:f>
        <x:v>310</x:v>
      </x:c>
      <x:c r="D6" s="2" t="n">
        <x:f>'参数'!F5</x:f>
        <x:v>30</x:v>
      </x:c>
      <x:c r="E6" s="2" t="n">
        <x:f>'烽火参照'!I7</x:f>
        <x:v>5</x:v>
      </x:c>
      <x:c r="F6" s="2" t="n">
        <x:f>'烽火参照'!I8</x:f>
        <x:v>6</x:v>
      </x:c>
      <x:c r="G6" s="17" t="n">
        <x:f>'烽火参照'!K7</x:f>
        <x:v>3</x:v>
      </x:c>
      <x:c r="H6" s="17" t="n">
        <x:f>'烽火参照'!L7</x:f>
        <x:v>218.18181818181816</x:v>
      </x:c>
    </x:row>
    <x:row r="7" ht="23" customHeight="1">
      <x:c r="A7" s="2" t="str">
        <x:f>'参数'!A6</x:f>
        <x:v>BREN 3 机动型</x:v>
      </x:c>
      <x:c r="B7" s="13" t="n">
        <x:f>'参数'!N6</x:f>
        <x:v>3050</x:v>
      </x:c>
      <x:c r="C7" s="2" t="n">
        <x:f>'参数'!J6</x:f>
        <x:v>280</x:v>
      </x:c>
      <x:c r="D7" s="2" t="n">
        <x:f>'参数'!F6</x:f>
        <x:v>30</x:v>
      </x:c>
      <x:c r="E7" s="2" t="n">
        <x:f>'烽火参照'!I11</x:f>
        <x:v>5</x:v>
      </x:c>
      <x:c r="F7" s="2" t="n">
        <x:f>'烽火参照'!I12</x:f>
        <x:v>6</x:v>
      </x:c>
      <x:c r="G7" s="17" t="n">
        <x:f>'烽火参照'!K11</x:f>
        <x:v>3</x:v>
      </x:c>
      <x:c r="H7" s="17" t="n">
        <x:f>'烽火参照'!L11</x:f>
        <x:v>218.18181818181816</x:v>
      </x:c>
    </x:row>
    <x:row r="8" ht="23" customHeight="1">
      <x:c r="A8" s="2" t="str">
        <x:f>'参数'!A7</x:f>
        <x:v>BREN 3 支援型</x:v>
      </x:c>
      <x:c r="B8" s="13" t="n">
        <x:f>'参数'!N7</x:f>
        <x:v>3400</x:v>
      </x:c>
      <x:c r="C8" s="2" t="n">
        <x:f>'参数'!J7</x:f>
        <x:v>350</x:v>
      </x:c>
      <x:c r="D8" s="2" t="n">
        <x:f>'参数'!F7</x:f>
        <x:v>40</x:v>
      </x:c>
      <x:c r="E8" s="2" t="n">
        <x:f>'烽火参照'!I15</x:f>
        <x:v>5</x:v>
      </x:c>
      <x:c r="F8" s="2" t="n">
        <x:f>'烽火参照'!I16</x:f>
        <x:v>5</x:v>
      </x:c>
      <x:c r="G8" s="17" t="n">
        <x:f>'烽火参照'!K15</x:f>
        <x:v>4</x:v>
      </x:c>
      <x:c r="H8" s="17" t="n">
        <x:f>'烽火参照'!L15</x:f>
        <x:v>231.32530120481928</x:v>
      </x:c>
    </x:row>
    <x:row r="9" ht="23" customHeight="1">
      <x:c r="A9" s="2"/>
      <x:c r="B9" s="2"/>
      <x:c r="C9" s="2"/>
      <x:c r="D9" s="2"/>
      <x:c r="E9" s="2"/>
      <x:c r="F9" s="2"/>
      <x:c r="G9" s="2"/>
      <x:c r="H9" s="2"/>
    </x:row>
    <x:row r="10" ht="23" customHeight="1">
      <x:c r="A10" s="2"/>
      <x:c r="B10" s="2"/>
      <x:c r="C10" s="2"/>
      <x:c r="D10" s="2"/>
      <x:c r="E10" s="2"/>
      <x:c r="F10" s="2"/>
      <x:c r="G10" s="2"/>
      <x:c r="H10" s="2"/>
    </x:row>
    <x:row r="11" ht="23" customHeight="1">
      <x:c r="A11" s="2" t="str">
        <x:v>支援型把距离与连续接敌能力换成更慢的举镜、跑射和移动。三套方案保持相同伤害和射速。</x:v>
      </x:c>
      <x:c r="B11" s="2"/>
      <x:c r="C11" s="2"/>
      <x:c r="D11" s="2"/>
      <x:c r="E11" s="2"/>
      <x:c r="F11" s="2"/>
      <x:c r="G11" s="2"/>
      <x:c r="H11" s="2"/>
    </x:row>
    <x:row r="12" ht="23" customHeight="1">
      <x:c r="A12" s="2"/>
      <x:c r="B12" s="2"/>
      <x:c r="C12" s="2"/>
      <x:c r="D12" s="2"/>
      <x:c r="E12" s="2"/>
      <x:c r="F12" s="2"/>
      <x:c r="G12" s="2"/>
      <x:c r="H12" s="2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</x:row>
    <x:row r="14" ht="30" customHeight="1">
      <x:c r="A14" s="8" t="str">
        <x:v>回合路径</x:v>
      </x:c>
      <x:c r="B14" s="8" t="str">
        <x:v>第1局开局</x:v>
      </x:c>
      <x:c r="C14" s="8" t="str">
        <x:v>第2局开局</x:v>
      </x:c>
      <x:c r="D14" s="8" t="str">
        <x:v>第3局开局</x:v>
      </x:c>
      <x:c r="E14" s="8" t="str">
        <x:v>第4局开局</x:v>
      </x:c>
      <x:c r="F14" s="8" t="str">
        <x:v>第5局开局</x:v>
      </x:c>
      <x:c r="G14" s="8" t="str">
        <x:v>第6局开局</x:v>
      </x:c>
      <x:c r="H14" s="8" t="str">
        <x:v>完整购买次数</x:v>
      </x:c>
    </x:row>
    <x:row r="15" ht="23" customHeight="1">
      <x:c r="A15" s="2" t="str">
        <x:f>'参数'!A5</x:f>
        <x:v>BREN 3 标准型</x:v>
      </x:c>
      <x:c r="B15" s="2" t="n">
        <x:f>'回合现金'!C6</x:f>
        <x:v>10000</x:v>
      </x:c>
      <x:c r="C15" s="2" t="n">
        <x:f>'回合现金'!C7</x:f>
        <x:v>9350</x:v>
      </x:c>
      <x:c r="D15" s="2" t="n">
        <x:f>'回合现金'!C8</x:f>
        <x:v>8700</x:v>
      </x:c>
      <x:c r="E15" s="2" t="n">
        <x:f>'回合现金'!C9</x:f>
        <x:v>8050</x:v>
      </x:c>
      <x:c r="F15" s="2" t="n">
        <x:f>'回合现金'!C10</x:f>
        <x:v>6600</x:v>
      </x:c>
      <x:c r="G15" s="2" t="n">
        <x:f>'回合现金'!C11</x:f>
        <x:v>5750</x:v>
      </x:c>
      <x:c r="H15" s="2" t="n">
        <x:f>SUM('回合现金'!G6:G11)</x:f>
        <x:v>6</x:v>
      </x:c>
    </x:row>
    <x:row r="16" ht="23" customHeight="1">
      <x:c r="A16" s="2" t="str">
        <x:f>'参数'!A6</x:f>
        <x:v>BREN 3 机动型</x:v>
      </x:c>
      <x:c r="B16" s="2" t="n">
        <x:f>'回合现金'!C12</x:f>
        <x:v>10000</x:v>
      </x:c>
      <x:c r="C16" s="2" t="n">
        <x:f>'回合现金'!C13</x:f>
        <x:v>8900</x:v>
      </x:c>
      <x:c r="D16" s="2" t="n">
        <x:f>'回合现金'!C14</x:f>
        <x:v>7800</x:v>
      </x:c>
      <x:c r="E16" s="2" t="n">
        <x:f>'回合现金'!C15</x:f>
        <x:v>6700</x:v>
      </x:c>
      <x:c r="F16" s="2" t="n">
        <x:f>'回合现金'!C16</x:f>
        <x:v>4800</x:v>
      </x:c>
      <x:c r="G16" s="2" t="n">
        <x:f>'回合现金'!C17</x:f>
        <x:v>3500</x:v>
      </x:c>
      <x:c r="H16" s="2" t="n">
        <x:f>SUM('回合现金'!G12:G17)</x:f>
        <x:v>5</x:v>
      </x:c>
    </x:row>
    <x:row r="17" ht="23" customHeight="1">
      <x:c r="A17" s="2" t="str">
        <x:f>'参数'!A7</x:f>
        <x:v>BREN 3 支援型</x:v>
      </x:c>
      <x:c r="B17" s="2" t="n">
        <x:f>'回合现金'!C18</x:f>
        <x:v>10000</x:v>
      </x:c>
      <x:c r="C17" s="2" t="n">
        <x:f>'回合现金'!C19</x:f>
        <x:v>8550</x:v>
      </x:c>
      <x:c r="D17" s="2" t="n">
        <x:f>'回合现金'!C20</x:f>
        <x:v>7100</x:v>
      </x:c>
      <x:c r="E17" s="2" t="n">
        <x:f>'回合现金'!C21</x:f>
        <x:v>5650</x:v>
      </x:c>
      <x:c r="F17" s="2" t="n">
        <x:f>'回合现金'!C22</x:f>
        <x:v>3400</x:v>
      </x:c>
      <x:c r="G17" s="2" t="n">
        <x:f>'回合现金'!C23</x:f>
        <x:v>6400</x:v>
      </x:c>
      <x:c r="H17" s="2" t="n">
        <x:f>SUM('回合现金'!G18:G23)</x:f>
        <x:v>5</x:v>
      </x:c>
    </x:row>
    <x:row r="18" ht="23" customHeight="1">
      <x:c r="A18" s="2"/>
      <x:c r="B18" s="2"/>
      <x:c r="C18" s="2"/>
      <x:c r="D18" s="2"/>
      <x:c r="E18" s="2"/>
      <x:c r="F18" s="2"/>
      <x:c r="G18" s="2"/>
      <x:c r="H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</x:row>
    <x:row r="20" ht="30" customHeight="1">
      <x:c r="A20" s="8" t="str">
        <x:v>定价检查</x:v>
      </x:c>
      <x:c r="B20" s="8" t="str">
        <x:v>金额</x:v>
      </x:c>
      <x:c r="C20" s="2"/>
      <x:c r="D20" s="2"/>
      <x:c r="E20" s="2"/>
      <x:c r="F20" s="2"/>
      <x:c r="G20" s="2"/>
      <x:c r="H20" s="2"/>
    </x:row>
    <x:row r="21" ht="23" customHeight="1">
      <x:c r="A21" s="2" t="str">
        <x:v>支援型全套支出</x:v>
      </x:c>
      <x:c r="B21" s="2" t="n">
        <x:f>'回合现金'!F18</x:f>
        <x:v>4650</x:v>
      </x:c>
      <x:c r="C21" s="2"/>
      <x:c r="D21" s="2"/>
      <x:c r="E21" s="2"/>
      <x:c r="F21" s="2"/>
      <x:c r="G21" s="2"/>
      <x:c r="H21" s="2"/>
    </x:row>
    <x:row r="22" ht="23" customHeight="1">
      <x:c r="A22" s="2" t="str">
        <x:v>最高失败奖励</x:v>
      </x:c>
      <x:c r="B22" s="2" t="n">
        <x:f>'参数'!B34</x:f>
        <x:v>3600</x:v>
      </x:c>
      <x:c r="C22" s="2"/>
      <x:c r="D22" s="2"/>
      <x:c r="E22" s="2"/>
      <x:c r="F22" s="2"/>
      <x:c r="G22" s="2"/>
      <x:c r="H22" s="2"/>
    </x:row>
    <x:row r="23" ht="23" customHeight="1">
      <x:c r="A23" s="2" t="str">
        <x:v>最高失败后缺口</x:v>
      </x:c>
      <x:c r="B23" s="2" t="n">
        <x:f>MAX(0,B21-B22)</x:f>
        <x:v>1050</x:v>
      </x:c>
      <x:c r="C23" s="2"/>
      <x:c r="D23" s="2"/>
      <x:c r="E23" s="2"/>
      <x:c r="F23" s="2"/>
      <x:c r="G23" s="2"/>
      <x:c r="H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</x:row>
    <x:row r="26" ht="23" customHeight="1">
      <x:c r="A26" s="2" t="str">
        <x:v>最高失败奖励可购买3400枪，但不能买齐4650的枪甲烟；满配恢复仍需要存留资金或省钱局。</x:v>
      </x:c>
      <x:c r="B26" s="2"/>
      <x:c r="C26" s="2"/>
      <x:c r="D26" s="2"/>
      <x:c r="E26" s="2"/>
      <x:c r="F26" s="2"/>
      <x:c r="G26" s="2"/>
      <x:c r="H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</x:row>
    <x:row r="29" ht="23" customHeight="1">
      <x:c r="A29" s="19" t="str">
        <x:v>计算边界</x:v>
      </x:c>
      <x:c r="B29" s="2"/>
      <x:c r="C29" s="2"/>
      <x:c r="D29" s="2"/>
      <x:c r="E29" s="2"/>
      <x:c r="F29" s="2"/>
      <x:c r="G29" s="2"/>
      <x:c r="H29" s="2"/>
    </x:row>
    <x:row r="30" ht="23" customHeight="1">
      <x:c r="A30" s="2" t="str">
        <x:v>伤害用连续碎甲比例近似。跨模式规则和舍入待校准，BTK/TTK仅用于发现门槛。</x:v>
      </x:c>
      <x:c r="B30" s="2"/>
      <x:c r="C30" s="2"/>
      <x:c r="D30" s="2"/>
      <x:c r="E30" s="2"/>
      <x:c r="F30" s="2"/>
      <x:c r="G30" s="2"/>
      <x:c r="H30" s="2"/>
    </x:row>
    <x:row r="31" ht="23" customHeight="1">
      <x:c r="A31" s="2" t="str">
        <x:v>单匣目标数=弹匣×假设命中率÷BTK，未计残血、头胸混合、目标切换或真实弹着。</x:v>
      </x:c>
      <x:c r="B31" s="2"/>
      <x:c r="C31" s="2"/>
      <x:c r="D31" s="2"/>
      <x:c r="E31" s="2"/>
      <x:c r="F31" s="2"/>
      <x:c r="G31" s="2"/>
      <x:c r="H31" s="2"/>
    </x:row>
    <x:row r="32" ht="23" customHeight="1">
      <x:c r="A32" s="2" t="str">
        <x:v>回合现金是规定路径的预算测试；未购买时零支出，不能等同真实生态局消费。</x:v>
      </x:c>
      <x:c r="B32" s="2"/>
      <x:c r="C32" s="2"/>
      <x:c r="D32" s="2"/>
      <x:c r="E32" s="2"/>
      <x:c r="F32" s="2"/>
      <x:c r="G32" s="2"/>
      <x:c r="H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A9F9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29" hidden="0" customWidth="1"/>
    <x:col min="3" max="3" width="42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3" customHeight="1">
      <x:c r="A2" s="4" t="str">
        <x:v>BREN 3 游戏参数与改装增量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30" customHeight="1">
      <x:c r="A4" s="8" t="str">
        <x:v>配置</x:v>
      </x:c>
      <x:c r="B4" s="8" t="str">
        <x:v>躯干肉伤</x:v>
      </x:c>
      <x:c r="C4" s="8" t="str">
        <x:v>头部肉伤</x:v>
      </x:c>
      <x:c r="D4" s="8" t="str">
        <x:v>甲伤</x:v>
      </x:c>
      <x:c r="E4" s="8" t="str">
        <x:v>射速 rpm</x:v>
      </x:c>
      <x:c r="F4" s="8" t="str">
        <x:v>弹匣 发</x:v>
      </x:c>
      <x:c r="G4" s="8" t="str">
        <x:v>优势射程 m</x:v>
      </x:c>
      <x:c r="H4" s="8" t="str">
        <x:v>初速 m/s</x:v>
      </x:c>
      <x:c r="I4" s="8" t="str">
        <x:v>换弹 s</x:v>
      </x:c>
      <x:c r="J4" s="8" t="str">
        <x:v>举镜 ms</x:v>
      </x:c>
      <x:c r="K4" s="8" t="str">
        <x:v>跑射 ms</x:v>
      </x:c>
      <x:c r="L4" s="8" t="str">
        <x:v>垂直后坐比</x:v>
      </x:c>
      <x:c r="M4" s="8" t="str">
        <x:v>水平后坐比</x:v>
      </x:c>
      <x:c r="N4" s="8" t="str">
        <x:v>黑潮枪价</x:v>
      </x:c>
      <x:c r="O4" s="8" t="str">
        <x:v>腰射角 °</x:v>
      </x:c>
      <x:c r="P4" s="8" t="str">
        <x:v>举镜走速 m/s</x:v>
      </x:c>
      <x:c r="Q4" s="8" t="str">
        <x:v>重量 kg</x:v>
      </x:c>
    </x:row>
    <x:row r="5" ht="23" customHeight="1">
      <x:c r="A5" s="2" t="str">
        <x:v>BREN 3 标准型</x:v>
      </x:c>
      <x:c r="B5" s="9" t="n">
        <x:v>32</x:v>
      </x:c>
      <x:c r="C5" s="9" t="n">
        <x:v>80</x:v>
      </x:c>
      <x:c r="D5" s="9" t="n">
        <x:v>34</x:v>
      </x:c>
      <x:c r="E5" s="9" t="n">
        <x:v>720</x:v>
      </x:c>
      <x:c r="F5" s="9" t="n">
        <x:v>30</x:v>
      </x:c>
      <x:c r="G5" s="9" t="n">
        <x:v>40</x:v>
      </x:c>
      <x:c r="H5" s="9" t="n">
        <x:v>730</x:v>
      </x:c>
      <x:c r="I5" s="10" t="n">
        <x:v>1.9</x:v>
      </x:c>
      <x:c r="J5" s="9" t="n">
        <x:v>310</x:v>
      </x:c>
      <x:c r="K5" s="9" t="n">
        <x:v>220</x:v>
      </x:c>
      <x:c r="L5" s="10" t="n">
        <x:v>0.78</x:v>
      </x:c>
      <x:c r="M5" s="10" t="n">
        <x:v>0.82</x:v>
      </x:c>
      <x:c r="N5" s="12" t="n">
        <x:v>2600</x:v>
      </x:c>
      <x:c r="O5" s="10" t="n">
        <x:v>3</x:v>
      </x:c>
      <x:c r="P5" s="10" t="n">
        <x:v>1.9</x:v>
      </x:c>
      <x:c r="Q5" s="10" t="n">
        <x:v>3.6</x:v>
      </x:c>
    </x:row>
    <x:row r="6" ht="23" customHeight="1">
      <x:c r="A6" s="2" t="str">
        <x:v>BREN 3 机动型</x:v>
      </x:c>
      <x:c r="B6" s="2" t="n">
        <x:f>B5</x:f>
        <x:v>32</x:v>
      </x:c>
      <x:c r="C6" s="2" t="n">
        <x:f>C5</x:f>
        <x:v>80</x:v>
      </x:c>
      <x:c r="D6" s="2" t="n">
        <x:f>D5</x:f>
        <x:v>34</x:v>
      </x:c>
      <x:c r="E6" s="2" t="n">
        <x:f>E5</x:f>
        <x:v>720</x:v>
      </x:c>
      <x:c r="F6" s="2" t="n">
        <x:f>F5+N12+N15</x:f>
        <x:v>30</x:v>
      </x:c>
      <x:c r="G6" s="2" t="n">
        <x:f>G5+J12+J15</x:f>
        <x:v>30</x:v>
      </x:c>
      <x:c r="H6" s="2" t="n">
        <x:f>H5+K12+K15</x:f>
        <x:v>670</x:v>
      </x:c>
      <x:c r="I6" s="11" t="n">
        <x:f>I5+O12+O15</x:f>
        <x:v>1.9</x:v>
      </x:c>
      <x:c r="J6" s="2" t="n">
        <x:f>J5+E12+E15</x:f>
        <x:v>280</x:v>
      </x:c>
      <x:c r="K6" s="2" t="n">
        <x:f>K5+F12+F15</x:f>
        <x:v>190</x:v>
      </x:c>
      <x:c r="L6" s="11" t="n">
        <x:f>L5+G12+G15</x:f>
        <x:v>0.8800000000000001</x:v>
      </x:c>
      <x:c r="M6" s="11" t="n">
        <x:f>M5+H12+H15</x:f>
        <x:v>0.9199999999999999</x:v>
      </x:c>
      <x:c r="N6" s="13" t="n">
        <x:f>N5+D12+D15</x:f>
        <x:v>3050</x:v>
      </x:c>
      <x:c r="O6" s="11" t="n">
        <x:f>O5+L12+L15</x:f>
        <x:v>2.7</x:v>
      </x:c>
      <x:c r="P6" s="11" t="n">
        <x:f>P5+I12+I15</x:f>
        <x:v>2</x:v>
      </x:c>
      <x:c r="Q6" s="11" t="n">
        <x:f>Q5+M12+M15</x:f>
        <x:v>3.35</x:v>
      </x:c>
    </x:row>
    <x:row r="7" ht="23" customHeight="1">
      <x:c r="A7" s="2" t="str">
        <x:v>BREN 3 支援型</x:v>
      </x:c>
      <x:c r="B7" s="2" t="n">
        <x:f>B5</x:f>
        <x:v>32</x:v>
      </x:c>
      <x:c r="C7" s="2" t="n">
        <x:f>C5</x:f>
        <x:v>80</x:v>
      </x:c>
      <x:c r="D7" s="2" t="n">
        <x:f>D5</x:f>
        <x:v>34</x:v>
      </x:c>
      <x:c r="E7" s="2" t="n">
        <x:f>E5</x:f>
        <x:v>720</x:v>
      </x:c>
      <x:c r="F7" s="2" t="n">
        <x:f>F5+N13+N14+N16+N17</x:f>
        <x:v>40</x:v>
      </x:c>
      <x:c r="G7" s="2" t="n">
        <x:f>G5+J13+J14+J16+J17</x:f>
        <x:v>50</x:v>
      </x:c>
      <x:c r="H7" s="2" t="n">
        <x:f>H5+K13+K14+K16+K17</x:f>
        <x:v>820</x:v>
      </x:c>
      <x:c r="I7" s="11" t="n">
        <x:f>I5+O13+O14+O16+O17</x:f>
        <x:v>2.1999999999999997</x:v>
      </x:c>
      <x:c r="J7" s="2" t="n">
        <x:f>J5+E13+E14+E16+E17</x:f>
        <x:v>350</x:v>
      </x:c>
      <x:c r="K7" s="2" t="n">
        <x:f>K5+F13+F14+F16+F17</x:f>
        <x:v>250</x:v>
      </x:c>
      <x:c r="L7" s="11" t="n">
        <x:f>L5+G13+G14+G16+G17</x:f>
        <x:v>0.62</x:v>
      </x:c>
      <x:c r="M7" s="11" t="n">
        <x:f>M5+H13+H14+H16+H17</x:f>
        <x:v>0.7</x:v>
      </x:c>
      <x:c r="N7" s="13" t="n">
        <x:f>N5+D13+D14+D16+D17</x:f>
        <x:v>3400</x:v>
      </x:c>
      <x:c r="O7" s="11" t="n">
        <x:f>O5+L13+L14+L16+L17</x:f>
        <x:v>3.6</x:v>
      </x:c>
      <x:c r="P7" s="11" t="n">
        <x:f>P5+I13+I14+I16+I17</x:f>
        <x:v>1.6999999999999997</x:v>
      </x:c>
      <x:c r="Q7" s="11" t="n">
        <x:f>Q5+M13+M14+M16+M17</x:f>
        <x:v>3.9000000000000004</x:v>
      </x:c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3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3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30" customHeight="1">
      <x:c r="A11" s="8" t="str">
        <x:v>配件ID</x:v>
      </x:c>
      <x:c r="B11" s="8" t="str">
        <x:v>配件</x:v>
      </x:c>
      <x:c r="C11" s="8" t="str">
        <x:v>范围 / 互斥</x:v>
      </x:c>
      <x:c r="D11" s="8" t="str">
        <x:v>价格增量</x:v>
      </x:c>
      <x:c r="E11" s="8" t="str">
        <x:v>举镜增量 ms</x:v>
      </x:c>
      <x:c r="F11" s="8" t="str">
        <x:v>跑射增量 ms</x:v>
      </x:c>
      <x:c r="G11" s="8" t="str">
        <x:v>垂直比增量</x:v>
      </x:c>
      <x:c r="H11" s="8" t="str">
        <x:v>水平比增量</x:v>
      </x:c>
      <x:c r="I11" s="8" t="str">
        <x:v>走速增量</x:v>
      </x:c>
      <x:c r="J11" s="8" t="str">
        <x:v>射程增量 m</x:v>
      </x:c>
      <x:c r="K11" s="8" t="str">
        <x:v>初速增量 m/s</x:v>
      </x:c>
      <x:c r="L11" s="8" t="str">
        <x:v>腰射增量 °</x:v>
      </x:c>
      <x:c r="M11" s="8" t="str">
        <x:v>重量增量 kg</x:v>
      </x:c>
      <x:c r="N11" s="8" t="str">
        <x:v>弹匣增量</x:v>
      </x:c>
      <x:c r="O11" s="8" t="str">
        <x:v>换弹增量 s</x:v>
      </x:c>
      <x:c r="P11" s="2"/>
      <x:c r="Q11" s="2"/>
    </x:row>
    <x:row r="12" ht="23" customHeight="1">
      <x:c r="A12" s="2" t="str">
        <x:v>P01</x:v>
      </x:c>
      <x:c r="B12" s="2" t="str">
        <x:v>轻型枪托</x:v>
      </x:c>
      <x:c r="C12" s="2" t="str">
        <x:v>通用游戏配件</x:v>
      </x:c>
      <x:c r="D12" s="9" t="n">
        <x:v>200</x:v>
      </x:c>
      <x:c r="E12" s="9" t="n">
        <x:v>-10</x:v>
      </x:c>
      <x:c r="F12" s="9" t="n">
        <x:v>-10</x:v>
      </x:c>
      <x:c r="G12" s="9" t="n">
        <x:v>0.04</x:v>
      </x:c>
      <x:c r="H12" s="9" t="n">
        <x:v>0.04</x:v>
      </x:c>
      <x:c r="I12" s="9" t="n">
        <x:v>0.05</x:v>
      </x:c>
      <x:c r="J12" s="9" t="n">
        <x:v>0</x:v>
      </x:c>
      <x:c r="K12" s="9" t="n">
        <x:v>0</x:v>
      </x:c>
      <x:c r="L12" s="9" t="n">
        <x:v>0</x:v>
      </x:c>
      <x:c r="M12" s="9" t="n">
        <x:v>-0.05</x:v>
      </x:c>
      <x:c r="N12" s="9" t="n">
        <x:v>0</x:v>
      </x:c>
      <x:c r="O12" s="9" t="n">
        <x:v>0</x:v>
      </x:c>
      <x:c r="P12" s="2"/>
      <x:c r="Q12" s="2"/>
    </x:row>
    <x:row r="13" ht="23" customHeight="1">
      <x:c r="A13" s="2" t="str">
        <x:v>P02</x:v>
      </x:c>
      <x:c r="B13" s="2" t="str">
        <x:v>控制握把</x:v>
      </x:c>
      <x:c r="C13" s="2" t="str">
        <x:v>通用游戏配件</x:v>
      </x:c>
      <x:c r="D13" s="9" t="n">
        <x:v>200</x:v>
      </x:c>
      <x:c r="E13" s="9" t="n">
        <x:v>10</x:v>
      </x:c>
      <x:c r="F13" s="9" t="n">
        <x:v>0</x:v>
      </x:c>
      <x:c r="G13" s="9" t="n">
        <x:v>-0.06</x:v>
      </x:c>
      <x:c r="H13" s="9" t="n">
        <x:v>-0.06</x:v>
      </x:c>
      <x:c r="I13" s="9" t="n">
        <x:v>0</x:v>
      </x:c>
      <x:c r="J13" s="9" t="n">
        <x:v>0</x:v>
      </x:c>
      <x:c r="K13" s="9" t="n">
        <x:v>0</x:v>
      </x:c>
      <x:c r="L13" s="9" t="n">
        <x:v>0</x:v>
      </x:c>
      <x:c r="M13" s="9" t="n">
        <x:v>0</x:v>
      </x:c>
      <x:c r="N13" s="9" t="n">
        <x:v>0</x:v>
      </x:c>
      <x:c r="O13" s="9" t="n">
        <x:v>0</x:v>
      </x:c>
      <x:c r="P13" s="2"/>
      <x:c r="Q13" s="2"/>
    </x:row>
    <x:row r="14" ht="23" customHeight="1">
      <x:c r="A14" s="2" t="str">
        <x:v>P03</x:v>
      </x:c>
      <x:c r="B14" s="2" t="str">
        <x:v>低倍瞄具</x:v>
      </x:c>
      <x:c r="C14" s="2" t="str">
        <x:v>通用游戏配件</x:v>
      </x:c>
      <x:c r="D14" s="9" t="n">
        <x:v>100</x:v>
      </x:c>
      <x:c r="E14" s="9" t="n">
        <x:v>0</x:v>
      </x:c>
      <x:c r="F14" s="9" t="n">
        <x:v>0</x:v>
      </x:c>
      <x:c r="G14" s="9" t="n">
        <x:v>0</x:v>
      </x:c>
      <x:c r="H14" s="9" t="n">
        <x:v>0</x:v>
      </x:c>
      <x:c r="I14" s="9" t="n">
        <x:v>0</x:v>
      </x:c>
      <x:c r="J14" s="9" t="n">
        <x:v>0</x:v>
      </x:c>
      <x:c r="K14" s="9" t="n">
        <x:v>0</x:v>
      </x:c>
      <x:c r="L14" s="9" t="n">
        <x:v>0</x:v>
      </x:c>
      <x:c r="M14" s="9" t="n">
        <x:v>0</x:v>
      </x:c>
      <x:c r="N14" s="9" t="n">
        <x:v>0</x:v>
      </x:c>
      <x:c r="O14" s="9" t="n">
        <x:v>0</x:v>
      </x:c>
      <x:c r="P14" s="2"/>
      <x:c r="Q14" s="2"/>
    </x:row>
    <x:row r="15" ht="23" customHeight="1">
      <x:c r="A15" s="2" t="str">
        <x:v>P04</x:v>
      </x:c>
      <x:c r="B15" s="2" t="str">
        <x:v>11英寸枪管与护木</x:v>
      </x:c>
      <x:c r="C15" s="2" t="str">
        <x:v>真实长度，游戏词条；与P05互斥</x:v>
      </x:c>
      <x:c r="D15" s="9" t="n">
        <x:v>250</x:v>
      </x:c>
      <x:c r="E15" s="9" t="n">
        <x:v>-20</x:v>
      </x:c>
      <x:c r="F15" s="9" t="n">
        <x:v>-20</x:v>
      </x:c>
      <x:c r="G15" s="9" t="n">
        <x:v>0.06</x:v>
      </x:c>
      <x:c r="H15" s="9" t="n">
        <x:v>0.06</x:v>
      </x:c>
      <x:c r="I15" s="9" t="n">
        <x:v>0.05</x:v>
      </x:c>
      <x:c r="J15" s="9" t="n">
        <x:v>-10</x:v>
      </x:c>
      <x:c r="K15" s="9" t="n">
        <x:v>-60</x:v>
      </x:c>
      <x:c r="L15" s="9" t="n">
        <x:v>-0.3</x:v>
      </x:c>
      <x:c r="M15" s="9" t="n">
        <x:v>-0.2</x:v>
      </x:c>
      <x:c r="N15" s="9" t="n">
        <x:v>0</x:v>
      </x:c>
      <x:c r="O15" s="9" t="n">
        <x:v>0</x:v>
      </x:c>
      <x:c r="P15" s="2"/>
      <x:c r="Q15" s="2"/>
    </x:row>
    <x:row r="16" ht="23" customHeight="1">
      <x:c r="A16" s="2" t="str">
        <x:v>P05</x:v>
      </x:c>
      <x:c r="B16" s="2" t="str">
        <x:v>16.5英寸枪管与护木</x:v>
      </x:c>
      <x:c r="C16" s="2" t="str">
        <x:v>真实长度，游戏词条；与P04互斥</x:v>
      </x:c>
      <x:c r="D16" s="9" t="n">
        <x:v>300</x:v>
      </x:c>
      <x:c r="E16" s="9" t="n">
        <x:v>20</x:v>
      </x:c>
      <x:c r="F16" s="9" t="n">
        <x:v>20</x:v>
      </x:c>
      <x:c r="G16" s="9" t="n">
        <x:v>-0.1</x:v>
      </x:c>
      <x:c r="H16" s="9" t="n">
        <x:v>-0.06</x:v>
      </x:c>
      <x:c r="I16" s="9" t="n">
        <x:v>-0.1</x:v>
      </x:c>
      <x:c r="J16" s="9" t="n">
        <x:v>10</x:v>
      </x:c>
      <x:c r="K16" s="9" t="n">
        <x:v>90</x:v>
      </x:c>
      <x:c r="L16" s="9" t="n">
        <x:v>0.4</x:v>
      </x:c>
      <x:c r="M16" s="9" t="n">
        <x:v>0.1</x:v>
      </x:c>
      <x:c r="N16" s="9" t="n">
        <x:v>0</x:v>
      </x:c>
      <x:c r="O16" s="9" t="n">
        <x:v>0</x:v>
      </x:c>
      <x:c r="P16" s="2"/>
      <x:c r="Q16" s="2"/>
    </x:row>
    <x:row r="17" ht="23" customHeight="1">
      <x:c r="A17" s="2" t="str">
        <x:v>P06</x:v>
      </x:c>
      <x:c r="B17" s="2" t="str">
        <x:v>40发扩容弹匣</x:v>
      </x:c>
      <x:c r="C17" s="2" t="str">
        <x:v>游戏提案；兼容性待核验</x:v>
      </x:c>
      <x:c r="D17" s="9" t="n">
        <x:v>200</x:v>
      </x:c>
      <x:c r="E17" s="9" t="n">
        <x:v>10</x:v>
      </x:c>
      <x:c r="F17" s="9" t="n">
        <x:v>10</x:v>
      </x:c>
      <x:c r="G17" s="9" t="n">
        <x:v>0</x:v>
      </x:c>
      <x:c r="H17" s="9" t="n">
        <x:v>0</x:v>
      </x:c>
      <x:c r="I17" s="9" t="n">
        <x:v>-0.1</x:v>
      </x:c>
      <x:c r="J17" s="9" t="n">
        <x:v>0</x:v>
      </x:c>
      <x:c r="K17" s="9" t="n">
        <x:v>0</x:v>
      </x:c>
      <x:c r="L17" s="9" t="n">
        <x:v>0.2</x:v>
      </x:c>
      <x:c r="M17" s="9" t="n">
        <x:v>0.2</x:v>
      </x:c>
      <x:c r="N17" s="9" t="n">
        <x:v>10</x:v>
      </x:c>
      <x:c r="O17" s="9" t="n">
        <x:v>0.3</x:v>
      </x:c>
      <x:c r="P17" s="2"/>
      <x:c r="Q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3" customHeight="1">
      <x:c r="A20" s="2" t="str">
        <x:v>黄色为游戏输入；30发来自厂商，40发为游戏提案。后坐以M7裸枪为参照，游戏负重非厂商空重。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30" customHeight="1">
      <x:c r="A22" s="8" t="str">
        <x:v>共享条件</x:v>
      </x:c>
      <x:c r="B22" s="8" t="str">
        <x:v>取值</x:v>
      </x:c>
      <x:c r="C22" s="8" t="str">
        <x:v>定义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3" customHeight="1">
      <x:c r="A23" s="2" t="str">
        <x:v>目标生命</x:v>
      </x:c>
      <x:c r="B23" s="9" t="n">
        <x:v>100</x:v>
      </x:c>
      <x:c r="C23" s="2" t="str">
        <x:v>HP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3" customHeight="1">
      <x:c r="A24" s="2" t="str">
        <x:v>头盔耐久</x:v>
      </x:c>
      <x:c r="B24" s="9" t="n">
        <x:v>50</x:v>
      </x:c>
      <x:c r="C24" s="2" t="str">
        <x:v>黑潮截图 / 用户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3" customHeight="1">
      <x:c r="A25" s="2" t="str">
        <x:v>躯干甲耐久</x:v>
      </x:c>
      <x:c r="B25" s="9" t="n">
        <x:v>110</x:v>
      </x:c>
      <x:c r="C25" s="2" t="str">
        <x:v>黑潮截图 / 用户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3" customHeight="1">
      <x:c r="A26" s="2" t="str">
        <x:v>头部受甲比例</x:v>
      </x:c>
      <x:c r="B26" s="14" t="n">
        <x:v>0.749</x:v>
      </x:c>
      <x:c r="C26" s="2" t="str">
        <x:v>用户实测近似值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3" customHeight="1">
      <x:c r="A27" s="2" t="str">
        <x:v>躯干受甲比例</x:v>
      </x:c>
      <x:c r="B27" s="14" t="n">
        <x:v>0.648</x:v>
      </x:c>
      <x:c r="C27" s="2" t="str">
        <x:v>用户实测近似值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3" customHeight="1">
      <x:c r="A28" s="2" t="str">
        <x:v>甲伤同比距离衰减</x:v>
      </x:c>
      <x:c r="B28" s="9" t="n">
        <x:v>0</x:v>
      </x:c>
      <x:c r="C28" s="2" t="str">
        <x:v>0不衰减；1与肉伤同比衰减</x:v>
      </x:c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3" customHeight="1">
      <x:c r="A29" s="2" t="str">
        <x:v>假设命中率</x:v>
      </x:c>
      <x:c r="B29" s="15" t="n">
        <x:v>0.5</x:v>
      </x:c>
      <x:c r="C29" s="2" t="str">
        <x:v>n/p近似，不是实测命中率</x:v>
      </x:c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3" customHeight="1">
      <x:c r="A30" s="2" t="str">
        <x:v>全甲价</x:v>
      </x:c>
      <x:c r="B30" s="9" t="n">
        <x:v>1000</x:v>
      </x:c>
      <x:c r="C30" s="2" t="str">
        <x:v>黑潮截图</x:v>
      </x:c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3" customHeight="1">
      <x:c r="A31" s="2" t="str">
        <x:v>本路径道具预算</x:v>
      </x:c>
      <x:c r="B31" s="9" t="n">
        <x:v>250</x:v>
      </x:c>
      <x:c r="C31" s="2" t="str">
        <x:v>自设单烟预算，不是满道具</x:v>
      </x:c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3" customHeight="1">
      <x:c r="A32" s="2" t="str">
        <x:v>胜利收入</x:v>
      </x:c>
      <x:c r="B32" s="9" t="n">
        <x:v>3200</x:v>
      </x:c>
      <x:c r="C32" s="2" t="str">
        <x:v>黑潮截图规则</x:v>
      </x:c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3" customHeight="1">
      <x:c r="A33" s="2" t="str">
        <x:v>持有现金上限</x:v>
      </x:c>
      <x:c r="B33" s="9" t="n">
        <x:v>10000</x:v>
      </x:c>
      <x:c r="C33" s="2" t="str">
        <x:v>用户口述</x:v>
      </x:c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3" customHeight="1">
      <x:c r="A34" s="2" t="str">
        <x:v>最高失败收入</x:v>
      </x:c>
      <x:c r="B34" s="9" t="n">
        <x:v>3600</x:v>
      </x:c>
      <x:c r="C34" s="2" t="str">
        <x:v>黑潮截图规则</x:v>
      </x:c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3" customHeight="1">
      <x:c r="A35" s="2" t="str">
        <x:v>首个失败收入</x:v>
      </x:c>
      <x:c r="B35" s="9" t="n">
        <x:v>2400</x:v>
      </x:c>
      <x:c r="C35" s="2" t="str">
        <x:v>黑潮截图规则</x:v>
      </x:c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3" customHeight="1">
      <x:c r="A36" s="2" t="str">
        <x:v>第二个失败收入</x:v>
      </x:c>
      <x:c r="B36" s="9" t="n">
        <x:v>3000</x:v>
      </x:c>
      <x:c r="C36" s="2" t="str">
        <x:v>黑潮截图规则</x:v>
      </x:c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3" customHeight="1">
      <x:c r="A37" s="2" t="str">
        <x:v>烽火参照耐久</x:v>
      </x:c>
      <x:c r="B37" s="9" t="n">
        <x:v>110</x:v>
      </x:c>
      <x:c r="C37" s="2" t="str">
        <x:v>MK-2既有截图；可改为其他目标</x:v>
      </x:c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3" customHeight="1">
      <x:c r="A38" s="2" t="str">
        <x:v>烽火参照受甲比例</x:v>
      </x:c>
      <x:c r="B38" s="10" t="n">
        <x:v>0.5</x:v>
      </x:c>
      <x:c r="C38" s="2" t="str">
        <x:v>自设同级参照，不是完整5.56实测</x:v>
      </x:c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3" customHeight="1">
      <x:c r="A39" s="2" t="str">
        <x:v>烽火甲伤系数</x:v>
      </x:c>
      <x:c r="B39" s="10" t="n">
        <x:v>1</x:v>
      </x:c>
      <x:c r="C39" s="2" t="str">
        <x:v>自设α；未知5.56目标系数不按等级差反推</x:v>
      </x:c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</x:sheetData>
  <x:dataValidations count="5">
    <x:dataValidation type="decimal" operator="between" sqref="B38">
      <x:formula1>0</x:formula1>
      <x:formula2>1</x:formula2>
    </x:dataValidation>
    <x:dataValidation type="decimal" operator="between" sqref="B39">
      <x:formula1>0.01</x:formula1>
      <x:formula2>2</x:formula2>
    </x:dataValidation>
    <x:dataValidation type="whole" operator="between" sqref="B28">
      <x:formula1>0</x:formula1>
      <x:formula2>1</x:formula2>
    </x:dataValidation>
    <x:dataValidation type="decimal" operator="between" sqref="B29">
      <x:formula1>0.01</x:formula1>
      <x:formula2>1</x:formula2>
    </x:dataValidation>
    <x:dataValidation type="whole" operator="between" sqref="B23:B25">
      <x:formula1>1</x:formula1>
      <x:formula2>1000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7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</x:row>
    <x:row r="2" ht="23" customHeight="1">
      <x:c r="A2" s="4" t="str">
        <x:v>烽火原型参数参照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  <x:c r="Z2" s="4"/>
      <x:c r="AA2" s="4"/>
      <x:c r="AB2" s="4"/>
      <x:c r="AC2" s="4"/>
      <x:c r="AD2" s="4"/>
      <x:c r="AE2" s="4"/>
      <x:c r="AF2" s="4"/>
    </x:row>
    <x:row r="3" ht="23" customHeight="1">
      <x:c r="A3" s="2" t="str">
        <x:v>k与α为独立可编辑假设；尚未核验5.56真实系数。参数页B37:B39控制目标。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</x:row>
    <x:row r="5" ht="30" customHeight="1">
      <x:c r="A5" s="8" t="str">
        <x:v>配置</x:v>
      </x:c>
      <x:c r="B5" s="8" t="str">
        <x:v>距离 m</x:v>
      </x:c>
      <x:c r="C5" s="8" t="str">
        <x:v>肉伤保留比</x:v>
      </x:c>
      <x:c r="D5" s="8" t="str">
        <x:v>单发肉伤</x:v>
      </x:c>
      <x:c r="E5" s="8" t="str">
        <x:v>有效甲伤</x:v>
      </x:c>
      <x:c r="F5" s="8" t="str">
        <x:v>起始甲耐久</x:v>
      </x:c>
      <x:c r="G5" s="8" t="str">
        <x:v>受甲比例</x:v>
      </x:c>
      <x:c r="H5" s="8" t="str">
        <x:v>生命</x:v>
      </x:c>
      <x:c r="I5" s="8" t="str">
        <x:v>BTK</x:v>
      </x:c>
      <x:c r="J5" s="8" t="str">
        <x:v>TTK ms</x:v>
      </x:c>
      <x:c r="K5" s="8" t="str">
        <x:v>单匣容量估计</x:v>
      </x:c>
      <x:c r="L5" s="8" t="str">
        <x:v>理想持续肉伤/s</x:v>
      </x:c>
      <x:c r="M5" s="8" t="str">
        <x:v>第1发累计肉伤</x:v>
      </x:c>
      <x:c r="N5" s="8" t="str">
        <x:v>第2发累计肉伤</x:v>
      </x:c>
      <x:c r="O5" s="8" t="str">
        <x:v>第3发累计肉伤</x:v>
      </x:c>
      <x:c r="P5" s="8" t="str">
        <x:v>第4发累计肉伤</x:v>
      </x:c>
      <x:c r="Q5" s="8" t="str">
        <x:v>第5发累计肉伤</x:v>
      </x:c>
      <x:c r="R5" s="8" t="str">
        <x:v>第6发累计肉伤</x:v>
      </x:c>
      <x:c r="S5" s="8" t="str">
        <x:v>第7发累计肉伤</x:v>
      </x:c>
      <x:c r="T5" s="8" t="str">
        <x:v>第8发累计肉伤</x:v>
      </x:c>
      <x:c r="U5" s="8" t="str">
        <x:v>第9发累计肉伤</x:v>
      </x:c>
      <x:c r="V5" s="8" t="str">
        <x:v>第10发累计肉伤</x:v>
      </x:c>
      <x:c r="W5" s="8" t="str">
        <x:v>第11发累计肉伤</x:v>
      </x:c>
      <x:c r="X5" s="8" t="str">
        <x:v>第12发累计肉伤</x:v>
      </x:c>
      <x:c r="Y5" s="8" t="str">
        <x:v>第13发累计肉伤</x:v>
      </x:c>
      <x:c r="Z5" s="8" t="str">
        <x:v>第14发累计肉伤</x:v>
      </x:c>
      <x:c r="AA5" s="8" t="str">
        <x:v>第15发累计肉伤</x:v>
      </x:c>
      <x:c r="AB5" s="8" t="str">
        <x:v>第16发累计肉伤</x:v>
      </x:c>
      <x:c r="AC5" s="8" t="str">
        <x:v>第17发累计肉伤</x:v>
      </x:c>
      <x:c r="AD5" s="8" t="str">
        <x:v>第18发累计肉伤</x:v>
      </x:c>
      <x:c r="AE5" s="8" t="str">
        <x:v>第19发累计肉伤</x:v>
      </x:c>
      <x:c r="AF5" s="8" t="str">
        <x:v>第20发累计肉伤</x:v>
      </x:c>
    </x:row>
    <x:row r="6" ht="23" customHeight="1">
      <x:c r="A6" s="2" t="str">
        <x:v>BREN 3 标准型</x:v>
      </x:c>
      <x:c r="B6" s="2" t="n">
        <x:v>15</x:v>
      </x:c>
      <x:c r="C6" s="11" t="n">
        <x:f>IF(B6&lt;='参数'!G5,1,IF(B6&lt;=60,0.75,0.55))</x:f>
        <x:v>1</x:v>
      </x:c>
      <x:c r="D6" s="11" t="n">
        <x:f>'参数'!B5*C6</x:f>
        <x:v>32</x:v>
      </x:c>
      <x:c r="E6" s="11" t="n">
        <x:f>'参数'!D5*'参数'!$B$39*IF('参数'!$B$28=1,C6,1)</x:f>
        <x:v>34</x:v>
      </x:c>
      <x:c r="F6" s="11" t="n">
        <x:f>'参数'!$B$37</x:f>
        <x:v>110</x:v>
      </x:c>
      <x:c r="G6" s="11" t="n">
        <x:f>'参数'!$B$38</x:f>
        <x:v>0.5</x:v>
      </x:c>
      <x:c r="H6" s="2" t="n">
        <x:f>'参数'!$B$23</x:f>
        <x:v>100</x:v>
      </x:c>
      <x:c r="I6" s="2" t="n">
        <x:f>IF(AF6&lt;H6,"n.a.",COUNTIFS(M6:AF6,"&lt;"&amp;H6)+1)</x:f>
        <x:v>5</x:v>
      </x:c>
      <x:c r="J6" s="17" t="n">
        <x:f>IF(I6="n.a.","n.a.",(I6-1)*60000/'参数'!E5)</x:f>
        <x:v>333.3333333333333</x:v>
      </x:c>
      <x:c r="K6" s="17" t="n">
        <x:f>IF(I6="n.a.","n.a.",'参数'!F5*'参数'!$B$29/I6)</x:f>
        <x:v>3</x:v>
      </x:c>
      <x:c r="L6" s="17" t="n">
        <x:f>'参数'!B5*'参数'!F5/('参数'!F5/('参数'!E5/60)+'参数'!I5)</x:f>
        <x:v>218.18181818181816</x:v>
      </x:c>
      <x:c r="M6" s="17" t="n">
        <x:f>D6*(1-(1-G6)*MIN(1,F6/E6))</x:f>
        <x:v>16</x:v>
      </x:c>
      <x:c r="N6" s="17" t="n">
        <x:f>D6*(2-(1-G6)*MIN(2,F6/E6))</x:f>
        <x:v>32</x:v>
      </x:c>
      <x:c r="O6" s="17" t="n">
        <x:f>D6*(3-(1-G6)*MIN(3,F6/E6))</x:f>
        <x:v>48</x:v>
      </x:c>
      <x:c r="P6" s="17" t="n">
        <x:f>D6*(4-(1-G6)*MIN(4,F6/E6))</x:f>
        <x:v>76.23529411764706</x:v>
      </x:c>
      <x:c r="Q6" s="17" t="n">
        <x:f>D6*(5-(1-G6)*MIN(5,F6/E6))</x:f>
        <x:v>108.23529411764706</x:v>
      </x:c>
      <x:c r="R6" s="17" t="n">
        <x:f>D6*(6-(1-G6)*MIN(6,F6/E6))</x:f>
        <x:v>140.23529411764707</x:v>
      </x:c>
      <x:c r="S6" s="17" t="n">
        <x:f>D6*(7-(1-G6)*MIN(7,F6/E6))</x:f>
        <x:v>172.23529411764707</x:v>
      </x:c>
      <x:c r="T6" s="17" t="n">
        <x:f>D6*(8-(1-G6)*MIN(8,F6/E6))</x:f>
        <x:v>204.23529411764707</x:v>
      </x:c>
      <x:c r="U6" s="17" t="n">
        <x:f>D6*(9-(1-G6)*MIN(9,F6/E6))</x:f>
        <x:v>236.23529411764707</x:v>
      </x:c>
      <x:c r="V6" s="17" t="n">
        <x:f>D6*(10-(1-G6)*MIN(10,F6/E6))</x:f>
        <x:v>268.2352941176471</x:v>
      </x:c>
      <x:c r="W6" s="17" t="n">
        <x:f>D6*(11-(1-G6)*MIN(11,F6/E6))</x:f>
        <x:v>300.2352941176471</x:v>
      </x:c>
      <x:c r="X6" s="17" t="n">
        <x:f>D6*(12-(1-G6)*MIN(12,F6/E6))</x:f>
        <x:v>332.2352941176471</x:v>
      </x:c>
      <x:c r="Y6" s="17" t="n">
        <x:f>D6*(13-(1-G6)*MIN(13,F6/E6))</x:f>
        <x:v>364.2352941176471</x:v>
      </x:c>
      <x:c r="Z6" s="17" t="n">
        <x:f>D6*(14-(1-G6)*MIN(14,F6/E6))</x:f>
        <x:v>396.2352941176471</x:v>
      </x:c>
      <x:c r="AA6" s="17" t="n">
        <x:f>D6*(15-(1-G6)*MIN(15,F6/E6))</x:f>
        <x:v>428.2352941176471</x:v>
      </x:c>
      <x:c r="AB6" s="17" t="n">
        <x:f>D6*(16-(1-G6)*MIN(16,F6/E6))</x:f>
        <x:v>460.2352941176471</x:v>
      </x:c>
      <x:c r="AC6" s="17" t="n">
        <x:f>D6*(17-(1-G6)*MIN(17,F6/E6))</x:f>
        <x:v>492.2352941176471</x:v>
      </x:c>
      <x:c r="AD6" s="17" t="n">
        <x:f>D6*(18-(1-G6)*MIN(18,F6/E6))</x:f>
        <x:v>524.2352941176471</x:v>
      </x:c>
      <x:c r="AE6" s="17" t="n">
        <x:f>D6*(19-(1-G6)*MIN(19,F6/E6))</x:f>
        <x:v>556.2352941176471</x:v>
      </x:c>
      <x:c r="AF6" s="17" t="n">
        <x:f>D6*(20-(1-G6)*MIN(20,F6/E6))</x:f>
        <x:v>588.2352941176471</x:v>
      </x:c>
    </x:row>
    <x:row r="7" ht="23" customHeight="1">
      <x:c r="A7" s="2" t="str">
        <x:v>BREN 3 标准型</x:v>
      </x:c>
      <x:c r="B7" s="2" t="n">
        <x:v>30</x:v>
      </x:c>
      <x:c r="C7" s="11" t="n">
        <x:f>IF(B7&lt;='参数'!G5,1,IF(B7&lt;=60,0.75,0.55))</x:f>
        <x:v>1</x:v>
      </x:c>
      <x:c r="D7" s="11" t="n">
        <x:f>'参数'!B5*C7</x:f>
        <x:v>32</x:v>
      </x:c>
      <x:c r="E7" s="11" t="n">
        <x:f>'参数'!D5*'参数'!$B$39*IF('参数'!$B$28=1,C7,1)</x:f>
        <x:v>34</x:v>
      </x:c>
      <x:c r="F7" s="11" t="n">
        <x:f>'参数'!$B$37</x:f>
        <x:v>110</x:v>
      </x:c>
      <x:c r="G7" s="11" t="n">
        <x:f>'参数'!$B$38</x:f>
        <x:v>0.5</x:v>
      </x:c>
      <x:c r="H7" s="2" t="n">
        <x:f>'参数'!$B$23</x:f>
        <x:v>100</x:v>
      </x:c>
      <x:c r="I7" s="2" t="n">
        <x:f>IF(AF7&lt;H7,"n.a.",COUNTIFS(M7:AF7,"&lt;"&amp;H7)+1)</x:f>
        <x:v>5</x:v>
      </x:c>
      <x:c r="J7" s="17" t="n">
        <x:f>IF(I7="n.a.","n.a.",(I7-1)*60000/'参数'!E5)</x:f>
        <x:v>333.3333333333333</x:v>
      </x:c>
      <x:c r="K7" s="17" t="n">
        <x:f>IF(I7="n.a.","n.a.",'参数'!F5*'参数'!$B$29/I7)</x:f>
        <x:v>3</x:v>
      </x:c>
      <x:c r="L7" s="17" t="n">
        <x:f>'参数'!B5*'参数'!F5/('参数'!F5/('参数'!E5/60)+'参数'!I5)</x:f>
        <x:v>218.18181818181816</x:v>
      </x:c>
      <x:c r="M7" s="17" t="n">
        <x:f>D7*(1-(1-G7)*MIN(1,F7/E7))</x:f>
        <x:v>16</x:v>
      </x:c>
      <x:c r="N7" s="17" t="n">
        <x:f>D7*(2-(1-G7)*MIN(2,F7/E7))</x:f>
        <x:v>32</x:v>
      </x:c>
      <x:c r="O7" s="17" t="n">
        <x:f>D7*(3-(1-G7)*MIN(3,F7/E7))</x:f>
        <x:v>48</x:v>
      </x:c>
      <x:c r="P7" s="17" t="n">
        <x:f>D7*(4-(1-G7)*MIN(4,F7/E7))</x:f>
        <x:v>76.23529411764706</x:v>
      </x:c>
      <x:c r="Q7" s="17" t="n">
        <x:f>D7*(5-(1-G7)*MIN(5,F7/E7))</x:f>
        <x:v>108.23529411764706</x:v>
      </x:c>
      <x:c r="R7" s="17" t="n">
        <x:f>D7*(6-(1-G7)*MIN(6,F7/E7))</x:f>
        <x:v>140.23529411764707</x:v>
      </x:c>
      <x:c r="S7" s="17" t="n">
        <x:f>D7*(7-(1-G7)*MIN(7,F7/E7))</x:f>
        <x:v>172.23529411764707</x:v>
      </x:c>
      <x:c r="T7" s="17" t="n">
        <x:f>D7*(8-(1-G7)*MIN(8,F7/E7))</x:f>
        <x:v>204.23529411764707</x:v>
      </x:c>
      <x:c r="U7" s="17" t="n">
        <x:f>D7*(9-(1-G7)*MIN(9,F7/E7))</x:f>
        <x:v>236.23529411764707</x:v>
      </x:c>
      <x:c r="V7" s="17" t="n">
        <x:f>D7*(10-(1-G7)*MIN(10,F7/E7))</x:f>
        <x:v>268.2352941176471</x:v>
      </x:c>
      <x:c r="W7" s="17" t="n">
        <x:f>D7*(11-(1-G7)*MIN(11,F7/E7))</x:f>
        <x:v>300.2352941176471</x:v>
      </x:c>
      <x:c r="X7" s="17" t="n">
        <x:f>D7*(12-(1-G7)*MIN(12,F7/E7))</x:f>
        <x:v>332.2352941176471</x:v>
      </x:c>
      <x:c r="Y7" s="17" t="n">
        <x:f>D7*(13-(1-G7)*MIN(13,F7/E7))</x:f>
        <x:v>364.2352941176471</x:v>
      </x:c>
      <x:c r="Z7" s="17" t="n">
        <x:f>D7*(14-(1-G7)*MIN(14,F7/E7))</x:f>
        <x:v>396.2352941176471</x:v>
      </x:c>
      <x:c r="AA7" s="17" t="n">
        <x:f>D7*(15-(1-G7)*MIN(15,F7/E7))</x:f>
        <x:v>428.2352941176471</x:v>
      </x:c>
      <x:c r="AB7" s="17" t="n">
        <x:f>D7*(16-(1-G7)*MIN(16,F7/E7))</x:f>
        <x:v>460.2352941176471</x:v>
      </x:c>
      <x:c r="AC7" s="17" t="n">
        <x:f>D7*(17-(1-G7)*MIN(17,F7/E7))</x:f>
        <x:v>492.2352941176471</x:v>
      </x:c>
      <x:c r="AD7" s="17" t="n">
        <x:f>D7*(18-(1-G7)*MIN(18,F7/E7))</x:f>
        <x:v>524.2352941176471</x:v>
      </x:c>
      <x:c r="AE7" s="17" t="n">
        <x:f>D7*(19-(1-G7)*MIN(19,F7/E7))</x:f>
        <x:v>556.2352941176471</x:v>
      </x:c>
      <x:c r="AF7" s="17" t="n">
        <x:f>D7*(20-(1-G7)*MIN(20,F7/E7))</x:f>
        <x:v>588.2352941176471</x:v>
      </x:c>
    </x:row>
    <x:row r="8" ht="23" customHeight="1">
      <x:c r="A8" s="2" t="str">
        <x:v>BREN 3 标准型</x:v>
      </x:c>
      <x:c r="B8" s="2" t="n">
        <x:v>50</x:v>
      </x:c>
      <x:c r="C8" s="11" t="n">
        <x:f>IF(B8&lt;='参数'!G5,1,IF(B8&lt;=60,0.75,0.55))</x:f>
        <x:v>0.75</x:v>
      </x:c>
      <x:c r="D8" s="11" t="n">
        <x:f>'参数'!B5*C8</x:f>
        <x:v>24</x:v>
      </x:c>
      <x:c r="E8" s="11" t="n">
        <x:f>'参数'!D5*'参数'!$B$39*IF('参数'!$B$28=1,C8,1)</x:f>
        <x:v>34</x:v>
      </x:c>
      <x:c r="F8" s="11" t="n">
        <x:f>'参数'!$B$37</x:f>
        <x:v>110</x:v>
      </x:c>
      <x:c r="G8" s="11" t="n">
        <x:f>'参数'!$B$38</x:f>
        <x:v>0.5</x:v>
      </x:c>
      <x:c r="H8" s="2" t="n">
        <x:f>'参数'!$B$23</x:f>
        <x:v>100</x:v>
      </x:c>
      <x:c r="I8" s="2" t="n">
        <x:f>IF(AF8&lt;H8,"n.a.",COUNTIFS(M8:AF8,"&lt;"&amp;H8)+1)</x:f>
        <x:v>6</x:v>
      </x:c>
      <x:c r="J8" s="17" t="n">
        <x:f>IF(I8="n.a.","n.a.",(I8-1)*60000/'参数'!E5)</x:f>
        <x:v>416.6666666666667</x:v>
      </x:c>
      <x:c r="K8" s="17" t="n">
        <x:f>IF(I8="n.a.","n.a.",'参数'!F5*'参数'!$B$29/I8)</x:f>
        <x:v>2.5</x:v>
      </x:c>
      <x:c r="L8" s="17" t="n">
        <x:f>'参数'!B5*'参数'!F5/('参数'!F5/('参数'!E5/60)+'参数'!I5)</x:f>
        <x:v>218.18181818181816</x:v>
      </x:c>
      <x:c r="M8" s="17" t="n">
        <x:f>D8*(1-(1-G8)*MIN(1,F8/E8))</x:f>
        <x:v>12</x:v>
      </x:c>
      <x:c r="N8" s="17" t="n">
        <x:f>D8*(2-(1-G8)*MIN(2,F8/E8))</x:f>
        <x:v>24</x:v>
      </x:c>
      <x:c r="O8" s="17" t="n">
        <x:f>D8*(3-(1-G8)*MIN(3,F8/E8))</x:f>
        <x:v>36</x:v>
      </x:c>
      <x:c r="P8" s="17" t="n">
        <x:f>D8*(4-(1-G8)*MIN(4,F8/E8))</x:f>
        <x:v>57.17647058823529</x:v>
      </x:c>
      <x:c r="Q8" s="17" t="n">
        <x:f>D8*(5-(1-G8)*MIN(5,F8/E8))</x:f>
        <x:v>81.17647058823529</x:v>
      </x:c>
      <x:c r="R8" s="17" t="n">
        <x:f>D8*(6-(1-G8)*MIN(6,F8/E8))</x:f>
        <x:v>105.1764705882353</x:v>
      </x:c>
      <x:c r="S8" s="17" t="n">
        <x:f>D8*(7-(1-G8)*MIN(7,F8/E8))</x:f>
        <x:v>129.1764705882353</x:v>
      </x:c>
      <x:c r="T8" s="17" t="n">
        <x:f>D8*(8-(1-G8)*MIN(8,F8/E8))</x:f>
        <x:v>153.1764705882353</x:v>
      </x:c>
      <x:c r="U8" s="17" t="n">
        <x:f>D8*(9-(1-G8)*MIN(9,F8/E8))</x:f>
        <x:v>177.1764705882353</x:v>
      </x:c>
      <x:c r="V8" s="17" t="n">
        <x:f>D8*(10-(1-G8)*MIN(10,F8/E8))</x:f>
        <x:v>201.1764705882353</x:v>
      </x:c>
      <x:c r="W8" s="17" t="n">
        <x:f>D8*(11-(1-G8)*MIN(11,F8/E8))</x:f>
        <x:v>225.1764705882353</x:v>
      </x:c>
      <x:c r="X8" s="17" t="n">
        <x:f>D8*(12-(1-G8)*MIN(12,F8/E8))</x:f>
        <x:v>249.1764705882353</x:v>
      </x:c>
      <x:c r="Y8" s="17" t="n">
        <x:f>D8*(13-(1-G8)*MIN(13,F8/E8))</x:f>
        <x:v>273.1764705882353</x:v>
      </x:c>
      <x:c r="Z8" s="17" t="n">
        <x:f>D8*(14-(1-G8)*MIN(14,F8/E8))</x:f>
        <x:v>297.1764705882353</x:v>
      </x:c>
      <x:c r="AA8" s="17" t="n">
        <x:f>D8*(15-(1-G8)*MIN(15,F8/E8))</x:f>
        <x:v>321.1764705882353</x:v>
      </x:c>
      <x:c r="AB8" s="17" t="n">
        <x:f>D8*(16-(1-G8)*MIN(16,F8/E8))</x:f>
        <x:v>345.1764705882353</x:v>
      </x:c>
      <x:c r="AC8" s="17" t="n">
        <x:f>D8*(17-(1-G8)*MIN(17,F8/E8))</x:f>
        <x:v>369.1764705882353</x:v>
      </x:c>
      <x:c r="AD8" s="17" t="n">
        <x:f>D8*(18-(1-G8)*MIN(18,F8/E8))</x:f>
        <x:v>393.1764705882353</x:v>
      </x:c>
      <x:c r="AE8" s="17" t="n">
        <x:f>D8*(19-(1-G8)*MIN(19,F8/E8))</x:f>
        <x:v>417.1764705882353</x:v>
      </x:c>
      <x:c r="AF8" s="17" t="n">
        <x:f>D8*(20-(1-G8)*MIN(20,F8/E8))</x:f>
        <x:v>441.1764705882353</x:v>
      </x:c>
    </x:row>
    <x:row r="9" ht="23" customHeight="1">
      <x:c r="A9" s="2" t="str">
        <x:v>BREN 3 标准型</x:v>
      </x:c>
      <x:c r="B9" s="2" t="n">
        <x:v>80</x:v>
      </x:c>
      <x:c r="C9" s="11" t="n">
        <x:f>IF(B9&lt;='参数'!G5,1,IF(B9&lt;=60,0.75,0.55))</x:f>
        <x:v>0.55</x:v>
      </x:c>
      <x:c r="D9" s="11" t="n">
        <x:f>'参数'!B5*C9</x:f>
        <x:v>17.6</x:v>
      </x:c>
      <x:c r="E9" s="11" t="n">
        <x:f>'参数'!D5*'参数'!$B$39*IF('参数'!$B$28=1,C9,1)</x:f>
        <x:v>34</x:v>
      </x:c>
      <x:c r="F9" s="11" t="n">
        <x:f>'参数'!$B$37</x:f>
        <x:v>110</x:v>
      </x:c>
      <x:c r="G9" s="11" t="n">
        <x:f>'参数'!$B$38</x:f>
        <x:v>0.5</x:v>
      </x:c>
      <x:c r="H9" s="2" t="n">
        <x:f>'参数'!$B$23</x:f>
        <x:v>100</x:v>
      </x:c>
      <x:c r="I9" s="2" t="n">
        <x:f>IF(AF9&lt;H9,"n.a.",COUNTIFS(M9:AF9,"&lt;"&amp;H9)+1)</x:f>
        <x:v>8</x:v>
      </x:c>
      <x:c r="J9" s="17" t="n">
        <x:f>IF(I9="n.a.","n.a.",(I9-1)*60000/'参数'!E5)</x:f>
        <x:v>583.3333333333334</x:v>
      </x:c>
      <x:c r="K9" s="17" t="n">
        <x:f>IF(I9="n.a.","n.a.",'参数'!F5*'参数'!$B$29/I9)</x:f>
        <x:v>1.875</x:v>
      </x:c>
      <x:c r="L9" s="17" t="n">
        <x:f>'参数'!B5*'参数'!F5/('参数'!F5/('参数'!E5/60)+'参数'!I5)</x:f>
        <x:v>218.18181818181816</x:v>
      </x:c>
      <x:c r="M9" s="17" t="n">
        <x:f>D9*(1-(1-G9)*MIN(1,F9/E9))</x:f>
        <x:v>8.8</x:v>
      </x:c>
      <x:c r="N9" s="17" t="n">
        <x:f>D9*(2-(1-G9)*MIN(2,F9/E9))</x:f>
        <x:v>17.6</x:v>
      </x:c>
      <x:c r="O9" s="17" t="n">
        <x:f>D9*(3-(1-G9)*MIN(3,F9/E9))</x:f>
        <x:v>26.400000000000002</x:v>
      </x:c>
      <x:c r="P9" s="17" t="n">
        <x:f>D9*(4-(1-G9)*MIN(4,F9/E9))</x:f>
        <x:v>41.92941176470588</x:v>
      </x:c>
      <x:c r="Q9" s="17" t="n">
        <x:f>D9*(5-(1-G9)*MIN(5,F9/E9))</x:f>
        <x:v>59.529411764705884</x:v>
      </x:c>
      <x:c r="R9" s="17" t="n">
        <x:f>D9*(6-(1-G9)*MIN(6,F9/E9))</x:f>
        <x:v>77.12941176470589</x:v>
      </x:c>
      <x:c r="S9" s="17" t="n">
        <x:f>D9*(7-(1-G9)*MIN(7,F9/E9))</x:f>
        <x:v>94.7294117647059</x:v>
      </x:c>
      <x:c r="T9" s="17" t="n">
        <x:f>D9*(8-(1-G9)*MIN(8,F9/E9))</x:f>
        <x:v>112.3294117647059</x:v>
      </x:c>
      <x:c r="U9" s="17" t="n">
        <x:f>D9*(9-(1-G9)*MIN(9,F9/E9))</x:f>
        <x:v>129.9294117647059</x:v>
      </x:c>
      <x:c r="V9" s="17" t="n">
        <x:f>D9*(10-(1-G9)*MIN(10,F9/E9))</x:f>
        <x:v>147.5294117647059</x:v>
      </x:c>
      <x:c r="W9" s="17" t="n">
        <x:f>D9*(11-(1-G9)*MIN(11,F9/E9))</x:f>
        <x:v>165.1294117647059</x:v>
      </x:c>
      <x:c r="X9" s="17" t="n">
        <x:f>D9*(12-(1-G9)*MIN(12,F9/E9))</x:f>
        <x:v>182.7294117647059</x:v>
      </x:c>
      <x:c r="Y9" s="17" t="n">
        <x:f>D9*(13-(1-G9)*MIN(13,F9/E9))</x:f>
        <x:v>200.3294117647059</x:v>
      </x:c>
      <x:c r="Z9" s="17" t="n">
        <x:f>D9*(14-(1-G9)*MIN(14,F9/E9))</x:f>
        <x:v>217.92941176470592</x:v>
      </x:c>
      <x:c r="AA9" s="17" t="n">
        <x:f>D9*(15-(1-G9)*MIN(15,F9/E9))</x:f>
        <x:v>235.5294117647059</x:v>
      </x:c>
      <x:c r="AB9" s="17" t="n">
        <x:f>D9*(16-(1-G9)*MIN(16,F9/E9))</x:f>
        <x:v>253.1294117647059</x:v>
      </x:c>
      <x:c r="AC9" s="17" t="n">
        <x:f>D9*(17-(1-G9)*MIN(17,F9/E9))</x:f>
        <x:v>270.7294117647059</x:v>
      </x:c>
      <x:c r="AD9" s="17" t="n">
        <x:f>D9*(18-(1-G9)*MIN(18,F9/E9))</x:f>
        <x:v>288.3294117647059</x:v>
      </x:c>
      <x:c r="AE9" s="17" t="n">
        <x:f>D9*(19-(1-G9)*MIN(19,F9/E9))</x:f>
        <x:v>305.9294117647059</x:v>
      </x:c>
      <x:c r="AF9" s="17" t="n">
        <x:f>D9*(20-(1-G9)*MIN(20,F9/E9))</x:f>
        <x:v>323.5294117647059</x:v>
      </x:c>
    </x:row>
    <x:row r="10" ht="23" customHeight="1">
      <x:c r="A10" s="2" t="str">
        <x:v>BREN 3 机动型</x:v>
      </x:c>
      <x:c r="B10" s="2" t="n">
        <x:v>15</x:v>
      </x:c>
      <x:c r="C10" s="11" t="n">
        <x:f>IF(B10&lt;='参数'!G6,1,IF(B10&lt;=60,0.75,0.55))</x:f>
        <x:v>1</x:v>
      </x:c>
      <x:c r="D10" s="11" t="n">
        <x:f>'参数'!B6*C10</x:f>
        <x:v>32</x:v>
      </x:c>
      <x:c r="E10" s="11" t="n">
        <x:f>'参数'!D6*'参数'!$B$39*IF('参数'!$B$28=1,C10,1)</x:f>
        <x:v>34</x:v>
      </x:c>
      <x:c r="F10" s="11" t="n">
        <x:f>'参数'!$B$37</x:f>
        <x:v>110</x:v>
      </x:c>
      <x:c r="G10" s="11" t="n">
        <x:f>'参数'!$B$38</x:f>
        <x:v>0.5</x:v>
      </x:c>
      <x:c r="H10" s="2" t="n">
        <x:f>'参数'!$B$23</x:f>
        <x:v>100</x:v>
      </x:c>
      <x:c r="I10" s="2" t="n">
        <x:f>IF(AF10&lt;H10,"n.a.",COUNTIFS(M10:AF10,"&lt;"&amp;H10)+1)</x:f>
        <x:v>5</x:v>
      </x:c>
      <x:c r="J10" s="17" t="n">
        <x:f>IF(I10="n.a.","n.a.",(I10-1)*60000/'参数'!E6)</x:f>
        <x:v>333.3333333333333</x:v>
      </x:c>
      <x:c r="K10" s="17" t="n">
        <x:f>IF(I10="n.a.","n.a.",'参数'!F6*'参数'!$B$29/I10)</x:f>
        <x:v>3</x:v>
      </x:c>
      <x:c r="L10" s="17" t="n">
        <x:f>'参数'!B6*'参数'!F6/('参数'!F6/('参数'!E6/60)+'参数'!I6)</x:f>
        <x:v>218.18181818181816</x:v>
      </x:c>
      <x:c r="M10" s="17" t="n">
        <x:f>D10*(1-(1-G10)*MIN(1,F10/E10))</x:f>
        <x:v>16</x:v>
      </x:c>
      <x:c r="N10" s="17" t="n">
        <x:f>D10*(2-(1-G10)*MIN(2,F10/E10))</x:f>
        <x:v>32</x:v>
      </x:c>
      <x:c r="O10" s="17" t="n">
        <x:f>D10*(3-(1-G10)*MIN(3,F10/E10))</x:f>
        <x:v>48</x:v>
      </x:c>
      <x:c r="P10" s="17" t="n">
        <x:f>D10*(4-(1-G10)*MIN(4,F10/E10))</x:f>
        <x:v>76.23529411764706</x:v>
      </x:c>
      <x:c r="Q10" s="17" t="n">
        <x:f>D10*(5-(1-G10)*MIN(5,F10/E10))</x:f>
        <x:v>108.23529411764706</x:v>
      </x:c>
      <x:c r="R10" s="17" t="n">
        <x:f>D10*(6-(1-G10)*MIN(6,F10/E10))</x:f>
        <x:v>140.23529411764707</x:v>
      </x:c>
      <x:c r="S10" s="17" t="n">
        <x:f>D10*(7-(1-G10)*MIN(7,F10/E10))</x:f>
        <x:v>172.23529411764707</x:v>
      </x:c>
      <x:c r="T10" s="17" t="n">
        <x:f>D10*(8-(1-G10)*MIN(8,F10/E10))</x:f>
        <x:v>204.23529411764707</x:v>
      </x:c>
      <x:c r="U10" s="17" t="n">
        <x:f>D10*(9-(1-G10)*MIN(9,F10/E10))</x:f>
        <x:v>236.23529411764707</x:v>
      </x:c>
      <x:c r="V10" s="17" t="n">
        <x:f>D10*(10-(1-G10)*MIN(10,F10/E10))</x:f>
        <x:v>268.2352941176471</x:v>
      </x:c>
      <x:c r="W10" s="17" t="n">
        <x:f>D10*(11-(1-G10)*MIN(11,F10/E10))</x:f>
        <x:v>300.2352941176471</x:v>
      </x:c>
      <x:c r="X10" s="17" t="n">
        <x:f>D10*(12-(1-G10)*MIN(12,F10/E10))</x:f>
        <x:v>332.2352941176471</x:v>
      </x:c>
      <x:c r="Y10" s="17" t="n">
        <x:f>D10*(13-(1-G10)*MIN(13,F10/E10))</x:f>
        <x:v>364.2352941176471</x:v>
      </x:c>
      <x:c r="Z10" s="17" t="n">
        <x:f>D10*(14-(1-G10)*MIN(14,F10/E10))</x:f>
        <x:v>396.2352941176471</x:v>
      </x:c>
      <x:c r="AA10" s="17" t="n">
        <x:f>D10*(15-(1-G10)*MIN(15,F10/E10))</x:f>
        <x:v>428.2352941176471</x:v>
      </x:c>
      <x:c r="AB10" s="17" t="n">
        <x:f>D10*(16-(1-G10)*MIN(16,F10/E10))</x:f>
        <x:v>460.2352941176471</x:v>
      </x:c>
      <x:c r="AC10" s="17" t="n">
        <x:f>D10*(17-(1-G10)*MIN(17,F10/E10))</x:f>
        <x:v>492.2352941176471</x:v>
      </x:c>
      <x:c r="AD10" s="17" t="n">
        <x:f>D10*(18-(1-G10)*MIN(18,F10/E10))</x:f>
        <x:v>524.2352941176471</x:v>
      </x:c>
      <x:c r="AE10" s="17" t="n">
        <x:f>D10*(19-(1-G10)*MIN(19,F10/E10))</x:f>
        <x:v>556.2352941176471</x:v>
      </x:c>
      <x:c r="AF10" s="17" t="n">
        <x:f>D10*(20-(1-G10)*MIN(20,F10/E10))</x:f>
        <x:v>588.2352941176471</x:v>
      </x:c>
    </x:row>
    <x:row r="11" ht="23" customHeight="1">
      <x:c r="A11" s="2" t="str">
        <x:v>BREN 3 机动型</x:v>
      </x:c>
      <x:c r="B11" s="2" t="n">
        <x:v>30</x:v>
      </x:c>
      <x:c r="C11" s="11" t="n">
        <x:f>IF(B11&lt;='参数'!G6,1,IF(B11&lt;=60,0.75,0.55))</x:f>
        <x:v>1</x:v>
      </x:c>
      <x:c r="D11" s="11" t="n">
        <x:f>'参数'!B6*C11</x:f>
        <x:v>32</x:v>
      </x:c>
      <x:c r="E11" s="11" t="n">
        <x:f>'参数'!D6*'参数'!$B$39*IF('参数'!$B$28=1,C11,1)</x:f>
        <x:v>34</x:v>
      </x:c>
      <x:c r="F11" s="11" t="n">
        <x:f>'参数'!$B$37</x:f>
        <x:v>110</x:v>
      </x:c>
      <x:c r="G11" s="11" t="n">
        <x:f>'参数'!$B$38</x:f>
        <x:v>0.5</x:v>
      </x:c>
      <x:c r="H11" s="2" t="n">
        <x:f>'参数'!$B$23</x:f>
        <x:v>100</x:v>
      </x:c>
      <x:c r="I11" s="2" t="n">
        <x:f>IF(AF11&lt;H11,"n.a.",COUNTIFS(M11:AF11,"&lt;"&amp;H11)+1)</x:f>
        <x:v>5</x:v>
      </x:c>
      <x:c r="J11" s="17" t="n">
        <x:f>IF(I11="n.a.","n.a.",(I11-1)*60000/'参数'!E6)</x:f>
        <x:v>333.3333333333333</x:v>
      </x:c>
      <x:c r="K11" s="17" t="n">
        <x:f>IF(I11="n.a.","n.a.",'参数'!F6*'参数'!$B$29/I11)</x:f>
        <x:v>3</x:v>
      </x:c>
      <x:c r="L11" s="17" t="n">
        <x:f>'参数'!B6*'参数'!F6/('参数'!F6/('参数'!E6/60)+'参数'!I6)</x:f>
        <x:v>218.18181818181816</x:v>
      </x:c>
      <x:c r="M11" s="17" t="n">
        <x:f>D11*(1-(1-G11)*MIN(1,F11/E11))</x:f>
        <x:v>16</x:v>
      </x:c>
      <x:c r="N11" s="17" t="n">
        <x:f>D11*(2-(1-G11)*MIN(2,F11/E11))</x:f>
        <x:v>32</x:v>
      </x:c>
      <x:c r="O11" s="17" t="n">
        <x:f>D11*(3-(1-G11)*MIN(3,F11/E11))</x:f>
        <x:v>48</x:v>
      </x:c>
      <x:c r="P11" s="17" t="n">
        <x:f>D11*(4-(1-G11)*MIN(4,F11/E11))</x:f>
        <x:v>76.23529411764706</x:v>
      </x:c>
      <x:c r="Q11" s="17" t="n">
        <x:f>D11*(5-(1-G11)*MIN(5,F11/E11))</x:f>
        <x:v>108.23529411764706</x:v>
      </x:c>
      <x:c r="R11" s="17" t="n">
        <x:f>D11*(6-(1-G11)*MIN(6,F11/E11))</x:f>
        <x:v>140.23529411764707</x:v>
      </x:c>
      <x:c r="S11" s="17" t="n">
        <x:f>D11*(7-(1-G11)*MIN(7,F11/E11))</x:f>
        <x:v>172.23529411764707</x:v>
      </x:c>
      <x:c r="T11" s="17" t="n">
        <x:f>D11*(8-(1-G11)*MIN(8,F11/E11))</x:f>
        <x:v>204.23529411764707</x:v>
      </x:c>
      <x:c r="U11" s="17" t="n">
        <x:f>D11*(9-(1-G11)*MIN(9,F11/E11))</x:f>
        <x:v>236.23529411764707</x:v>
      </x:c>
      <x:c r="V11" s="17" t="n">
        <x:f>D11*(10-(1-G11)*MIN(10,F11/E11))</x:f>
        <x:v>268.2352941176471</x:v>
      </x:c>
      <x:c r="W11" s="17" t="n">
        <x:f>D11*(11-(1-G11)*MIN(11,F11/E11))</x:f>
        <x:v>300.2352941176471</x:v>
      </x:c>
      <x:c r="X11" s="17" t="n">
        <x:f>D11*(12-(1-G11)*MIN(12,F11/E11))</x:f>
        <x:v>332.2352941176471</x:v>
      </x:c>
      <x:c r="Y11" s="17" t="n">
        <x:f>D11*(13-(1-G11)*MIN(13,F11/E11))</x:f>
        <x:v>364.2352941176471</x:v>
      </x:c>
      <x:c r="Z11" s="17" t="n">
        <x:f>D11*(14-(1-G11)*MIN(14,F11/E11))</x:f>
        <x:v>396.2352941176471</x:v>
      </x:c>
      <x:c r="AA11" s="17" t="n">
        <x:f>D11*(15-(1-G11)*MIN(15,F11/E11))</x:f>
        <x:v>428.2352941176471</x:v>
      </x:c>
      <x:c r="AB11" s="17" t="n">
        <x:f>D11*(16-(1-G11)*MIN(16,F11/E11))</x:f>
        <x:v>460.2352941176471</x:v>
      </x:c>
      <x:c r="AC11" s="17" t="n">
        <x:f>D11*(17-(1-G11)*MIN(17,F11/E11))</x:f>
        <x:v>492.2352941176471</x:v>
      </x:c>
      <x:c r="AD11" s="17" t="n">
        <x:f>D11*(18-(1-G11)*MIN(18,F11/E11))</x:f>
        <x:v>524.2352941176471</x:v>
      </x:c>
      <x:c r="AE11" s="17" t="n">
        <x:f>D11*(19-(1-G11)*MIN(19,F11/E11))</x:f>
        <x:v>556.2352941176471</x:v>
      </x:c>
      <x:c r="AF11" s="17" t="n">
        <x:f>D11*(20-(1-G11)*MIN(20,F11/E11))</x:f>
        <x:v>588.2352941176471</x:v>
      </x:c>
    </x:row>
    <x:row r="12" ht="23" customHeight="1">
      <x:c r="A12" s="2" t="str">
        <x:v>BREN 3 机动型</x:v>
      </x:c>
      <x:c r="B12" s="2" t="n">
        <x:v>50</x:v>
      </x:c>
      <x:c r="C12" s="11" t="n">
        <x:f>IF(B12&lt;='参数'!G6,1,IF(B12&lt;=60,0.75,0.55))</x:f>
        <x:v>0.75</x:v>
      </x:c>
      <x:c r="D12" s="11" t="n">
        <x:f>'参数'!B6*C12</x:f>
        <x:v>24</x:v>
      </x:c>
      <x:c r="E12" s="11" t="n">
        <x:f>'参数'!D6*'参数'!$B$39*IF('参数'!$B$28=1,C12,1)</x:f>
        <x:v>34</x:v>
      </x:c>
      <x:c r="F12" s="11" t="n">
        <x:f>'参数'!$B$37</x:f>
        <x:v>110</x:v>
      </x:c>
      <x:c r="G12" s="11" t="n">
        <x:f>'参数'!$B$38</x:f>
        <x:v>0.5</x:v>
      </x:c>
      <x:c r="H12" s="2" t="n">
        <x:f>'参数'!$B$23</x:f>
        <x:v>100</x:v>
      </x:c>
      <x:c r="I12" s="2" t="n">
        <x:f>IF(AF12&lt;H12,"n.a.",COUNTIFS(M12:AF12,"&lt;"&amp;H12)+1)</x:f>
        <x:v>6</x:v>
      </x:c>
      <x:c r="J12" s="17" t="n">
        <x:f>IF(I12="n.a.","n.a.",(I12-1)*60000/'参数'!E6)</x:f>
        <x:v>416.6666666666667</x:v>
      </x:c>
      <x:c r="K12" s="17" t="n">
        <x:f>IF(I12="n.a.","n.a.",'参数'!F6*'参数'!$B$29/I12)</x:f>
        <x:v>2.5</x:v>
      </x:c>
      <x:c r="L12" s="17" t="n">
        <x:f>'参数'!B6*'参数'!F6/('参数'!F6/('参数'!E6/60)+'参数'!I6)</x:f>
        <x:v>218.18181818181816</x:v>
      </x:c>
      <x:c r="M12" s="17" t="n">
        <x:f>D12*(1-(1-G12)*MIN(1,F12/E12))</x:f>
        <x:v>12</x:v>
      </x:c>
      <x:c r="N12" s="17" t="n">
        <x:f>D12*(2-(1-G12)*MIN(2,F12/E12))</x:f>
        <x:v>24</x:v>
      </x:c>
      <x:c r="O12" s="17" t="n">
        <x:f>D12*(3-(1-G12)*MIN(3,F12/E12))</x:f>
        <x:v>36</x:v>
      </x:c>
      <x:c r="P12" s="17" t="n">
        <x:f>D12*(4-(1-G12)*MIN(4,F12/E12))</x:f>
        <x:v>57.17647058823529</x:v>
      </x:c>
      <x:c r="Q12" s="17" t="n">
        <x:f>D12*(5-(1-G12)*MIN(5,F12/E12))</x:f>
        <x:v>81.17647058823529</x:v>
      </x:c>
      <x:c r="R12" s="17" t="n">
        <x:f>D12*(6-(1-G12)*MIN(6,F12/E12))</x:f>
        <x:v>105.1764705882353</x:v>
      </x:c>
      <x:c r="S12" s="17" t="n">
        <x:f>D12*(7-(1-G12)*MIN(7,F12/E12))</x:f>
        <x:v>129.1764705882353</x:v>
      </x:c>
      <x:c r="T12" s="17" t="n">
        <x:f>D12*(8-(1-G12)*MIN(8,F12/E12))</x:f>
        <x:v>153.1764705882353</x:v>
      </x:c>
      <x:c r="U12" s="17" t="n">
        <x:f>D12*(9-(1-G12)*MIN(9,F12/E12))</x:f>
        <x:v>177.1764705882353</x:v>
      </x:c>
      <x:c r="V12" s="17" t="n">
        <x:f>D12*(10-(1-G12)*MIN(10,F12/E12))</x:f>
        <x:v>201.1764705882353</x:v>
      </x:c>
      <x:c r="W12" s="17" t="n">
        <x:f>D12*(11-(1-G12)*MIN(11,F12/E12))</x:f>
        <x:v>225.1764705882353</x:v>
      </x:c>
      <x:c r="X12" s="17" t="n">
        <x:f>D12*(12-(1-G12)*MIN(12,F12/E12))</x:f>
        <x:v>249.1764705882353</x:v>
      </x:c>
      <x:c r="Y12" s="17" t="n">
        <x:f>D12*(13-(1-G12)*MIN(13,F12/E12))</x:f>
        <x:v>273.1764705882353</x:v>
      </x:c>
      <x:c r="Z12" s="17" t="n">
        <x:f>D12*(14-(1-G12)*MIN(14,F12/E12))</x:f>
        <x:v>297.1764705882353</x:v>
      </x:c>
      <x:c r="AA12" s="17" t="n">
        <x:f>D12*(15-(1-G12)*MIN(15,F12/E12))</x:f>
        <x:v>321.1764705882353</x:v>
      </x:c>
      <x:c r="AB12" s="17" t="n">
        <x:f>D12*(16-(1-G12)*MIN(16,F12/E12))</x:f>
        <x:v>345.1764705882353</x:v>
      </x:c>
      <x:c r="AC12" s="17" t="n">
        <x:f>D12*(17-(1-G12)*MIN(17,F12/E12))</x:f>
        <x:v>369.1764705882353</x:v>
      </x:c>
      <x:c r="AD12" s="17" t="n">
        <x:f>D12*(18-(1-G12)*MIN(18,F12/E12))</x:f>
        <x:v>393.1764705882353</x:v>
      </x:c>
      <x:c r="AE12" s="17" t="n">
        <x:f>D12*(19-(1-G12)*MIN(19,F12/E12))</x:f>
        <x:v>417.1764705882353</x:v>
      </x:c>
      <x:c r="AF12" s="17" t="n">
        <x:f>D12*(20-(1-G12)*MIN(20,F12/E12))</x:f>
        <x:v>441.1764705882353</x:v>
      </x:c>
    </x:row>
    <x:row r="13" ht="23" customHeight="1">
      <x:c r="A13" s="2" t="str">
        <x:v>BREN 3 机动型</x:v>
      </x:c>
      <x:c r="B13" s="2" t="n">
        <x:v>80</x:v>
      </x:c>
      <x:c r="C13" s="11" t="n">
        <x:f>IF(B13&lt;='参数'!G6,1,IF(B13&lt;=60,0.75,0.55))</x:f>
        <x:v>0.55</x:v>
      </x:c>
      <x:c r="D13" s="11" t="n">
        <x:f>'参数'!B6*C13</x:f>
        <x:v>17.6</x:v>
      </x:c>
      <x:c r="E13" s="11" t="n">
        <x:f>'参数'!D6*'参数'!$B$39*IF('参数'!$B$28=1,C13,1)</x:f>
        <x:v>34</x:v>
      </x:c>
      <x:c r="F13" s="11" t="n">
        <x:f>'参数'!$B$37</x:f>
        <x:v>110</x:v>
      </x:c>
      <x:c r="G13" s="11" t="n">
        <x:f>'参数'!$B$38</x:f>
        <x:v>0.5</x:v>
      </x:c>
      <x:c r="H13" s="2" t="n">
        <x:f>'参数'!$B$23</x:f>
        <x:v>100</x:v>
      </x:c>
      <x:c r="I13" s="2" t="n">
        <x:f>IF(AF13&lt;H13,"n.a.",COUNTIFS(M13:AF13,"&lt;"&amp;H13)+1)</x:f>
        <x:v>8</x:v>
      </x:c>
      <x:c r="J13" s="17" t="n">
        <x:f>IF(I13="n.a.","n.a.",(I13-1)*60000/'参数'!E6)</x:f>
        <x:v>583.3333333333334</x:v>
      </x:c>
      <x:c r="K13" s="17" t="n">
        <x:f>IF(I13="n.a.","n.a.",'参数'!F6*'参数'!$B$29/I13)</x:f>
        <x:v>1.875</x:v>
      </x:c>
      <x:c r="L13" s="17" t="n">
        <x:f>'参数'!B6*'参数'!F6/('参数'!F6/('参数'!E6/60)+'参数'!I6)</x:f>
        <x:v>218.18181818181816</x:v>
      </x:c>
      <x:c r="M13" s="17" t="n">
        <x:f>D13*(1-(1-G13)*MIN(1,F13/E13))</x:f>
        <x:v>8.8</x:v>
      </x:c>
      <x:c r="N13" s="17" t="n">
        <x:f>D13*(2-(1-G13)*MIN(2,F13/E13))</x:f>
        <x:v>17.6</x:v>
      </x:c>
      <x:c r="O13" s="17" t="n">
        <x:f>D13*(3-(1-G13)*MIN(3,F13/E13))</x:f>
        <x:v>26.400000000000002</x:v>
      </x:c>
      <x:c r="P13" s="17" t="n">
        <x:f>D13*(4-(1-G13)*MIN(4,F13/E13))</x:f>
        <x:v>41.92941176470588</x:v>
      </x:c>
      <x:c r="Q13" s="17" t="n">
        <x:f>D13*(5-(1-G13)*MIN(5,F13/E13))</x:f>
        <x:v>59.529411764705884</x:v>
      </x:c>
      <x:c r="R13" s="17" t="n">
        <x:f>D13*(6-(1-G13)*MIN(6,F13/E13))</x:f>
        <x:v>77.12941176470589</x:v>
      </x:c>
      <x:c r="S13" s="17" t="n">
        <x:f>D13*(7-(1-G13)*MIN(7,F13/E13))</x:f>
        <x:v>94.7294117647059</x:v>
      </x:c>
      <x:c r="T13" s="17" t="n">
        <x:f>D13*(8-(1-G13)*MIN(8,F13/E13))</x:f>
        <x:v>112.3294117647059</x:v>
      </x:c>
      <x:c r="U13" s="17" t="n">
        <x:f>D13*(9-(1-G13)*MIN(9,F13/E13))</x:f>
        <x:v>129.9294117647059</x:v>
      </x:c>
      <x:c r="V13" s="17" t="n">
        <x:f>D13*(10-(1-G13)*MIN(10,F13/E13))</x:f>
        <x:v>147.5294117647059</x:v>
      </x:c>
      <x:c r="W13" s="17" t="n">
        <x:f>D13*(11-(1-G13)*MIN(11,F13/E13))</x:f>
        <x:v>165.1294117647059</x:v>
      </x:c>
      <x:c r="X13" s="17" t="n">
        <x:f>D13*(12-(1-G13)*MIN(12,F13/E13))</x:f>
        <x:v>182.7294117647059</x:v>
      </x:c>
      <x:c r="Y13" s="17" t="n">
        <x:f>D13*(13-(1-G13)*MIN(13,F13/E13))</x:f>
        <x:v>200.3294117647059</x:v>
      </x:c>
      <x:c r="Z13" s="17" t="n">
        <x:f>D13*(14-(1-G13)*MIN(14,F13/E13))</x:f>
        <x:v>217.92941176470592</x:v>
      </x:c>
      <x:c r="AA13" s="17" t="n">
        <x:f>D13*(15-(1-G13)*MIN(15,F13/E13))</x:f>
        <x:v>235.5294117647059</x:v>
      </x:c>
      <x:c r="AB13" s="17" t="n">
        <x:f>D13*(16-(1-G13)*MIN(16,F13/E13))</x:f>
        <x:v>253.1294117647059</x:v>
      </x:c>
      <x:c r="AC13" s="17" t="n">
        <x:f>D13*(17-(1-G13)*MIN(17,F13/E13))</x:f>
        <x:v>270.7294117647059</x:v>
      </x:c>
      <x:c r="AD13" s="17" t="n">
        <x:f>D13*(18-(1-G13)*MIN(18,F13/E13))</x:f>
        <x:v>288.3294117647059</x:v>
      </x:c>
      <x:c r="AE13" s="17" t="n">
        <x:f>D13*(19-(1-G13)*MIN(19,F13/E13))</x:f>
        <x:v>305.9294117647059</x:v>
      </x:c>
      <x:c r="AF13" s="17" t="n">
        <x:f>D13*(20-(1-G13)*MIN(20,F13/E13))</x:f>
        <x:v>323.5294117647059</x:v>
      </x:c>
    </x:row>
    <x:row r="14" ht="23" customHeight="1">
      <x:c r="A14" s="2" t="str">
        <x:v>BREN 3 支援型</x:v>
      </x:c>
      <x:c r="B14" s="2" t="n">
        <x:v>15</x:v>
      </x:c>
      <x:c r="C14" s="11" t="n">
        <x:f>IF(B14&lt;='参数'!G7,1,IF(B14&lt;=60,0.75,0.55))</x:f>
        <x:v>1</x:v>
      </x:c>
      <x:c r="D14" s="11" t="n">
        <x:f>'参数'!B7*C14</x:f>
        <x:v>32</x:v>
      </x:c>
      <x:c r="E14" s="11" t="n">
        <x:f>'参数'!D7*'参数'!$B$39*IF('参数'!$B$28=1,C14,1)</x:f>
        <x:v>34</x:v>
      </x:c>
      <x:c r="F14" s="11" t="n">
        <x:f>'参数'!$B$37</x:f>
        <x:v>110</x:v>
      </x:c>
      <x:c r="G14" s="11" t="n">
        <x:f>'参数'!$B$38</x:f>
        <x:v>0.5</x:v>
      </x:c>
      <x:c r="H14" s="2" t="n">
        <x:f>'参数'!$B$23</x:f>
        <x:v>100</x:v>
      </x:c>
      <x:c r="I14" s="2" t="n">
        <x:f>IF(AF14&lt;H14,"n.a.",COUNTIFS(M14:AF14,"&lt;"&amp;H14)+1)</x:f>
        <x:v>5</x:v>
      </x:c>
      <x:c r="J14" s="17" t="n">
        <x:f>IF(I14="n.a.","n.a.",(I14-1)*60000/'参数'!E7)</x:f>
        <x:v>333.3333333333333</x:v>
      </x:c>
      <x:c r="K14" s="17" t="n">
        <x:f>IF(I14="n.a.","n.a.",'参数'!F7*'参数'!$B$29/I14)</x:f>
        <x:v>4</x:v>
      </x:c>
      <x:c r="L14" s="17" t="n">
        <x:f>'参数'!B7*'参数'!F7/('参数'!F7/('参数'!E7/60)+'参数'!I7)</x:f>
        <x:v>231.32530120481928</x:v>
      </x:c>
      <x:c r="M14" s="17" t="n">
        <x:f>D14*(1-(1-G14)*MIN(1,F14/E14))</x:f>
        <x:v>16</x:v>
      </x:c>
      <x:c r="N14" s="17" t="n">
        <x:f>D14*(2-(1-G14)*MIN(2,F14/E14))</x:f>
        <x:v>32</x:v>
      </x:c>
      <x:c r="O14" s="17" t="n">
        <x:f>D14*(3-(1-G14)*MIN(3,F14/E14))</x:f>
        <x:v>48</x:v>
      </x:c>
      <x:c r="P14" s="17" t="n">
        <x:f>D14*(4-(1-G14)*MIN(4,F14/E14))</x:f>
        <x:v>76.23529411764706</x:v>
      </x:c>
      <x:c r="Q14" s="17" t="n">
        <x:f>D14*(5-(1-G14)*MIN(5,F14/E14))</x:f>
        <x:v>108.23529411764706</x:v>
      </x:c>
      <x:c r="R14" s="17" t="n">
        <x:f>D14*(6-(1-G14)*MIN(6,F14/E14))</x:f>
        <x:v>140.23529411764707</x:v>
      </x:c>
      <x:c r="S14" s="17" t="n">
        <x:f>D14*(7-(1-G14)*MIN(7,F14/E14))</x:f>
        <x:v>172.23529411764707</x:v>
      </x:c>
      <x:c r="T14" s="17" t="n">
        <x:f>D14*(8-(1-G14)*MIN(8,F14/E14))</x:f>
        <x:v>204.23529411764707</x:v>
      </x:c>
      <x:c r="U14" s="17" t="n">
        <x:f>D14*(9-(1-G14)*MIN(9,F14/E14))</x:f>
        <x:v>236.23529411764707</x:v>
      </x:c>
      <x:c r="V14" s="17" t="n">
        <x:f>D14*(10-(1-G14)*MIN(10,F14/E14))</x:f>
        <x:v>268.2352941176471</x:v>
      </x:c>
      <x:c r="W14" s="17" t="n">
        <x:f>D14*(11-(1-G14)*MIN(11,F14/E14))</x:f>
        <x:v>300.2352941176471</x:v>
      </x:c>
      <x:c r="X14" s="17" t="n">
        <x:f>D14*(12-(1-G14)*MIN(12,F14/E14))</x:f>
        <x:v>332.2352941176471</x:v>
      </x:c>
      <x:c r="Y14" s="17" t="n">
        <x:f>D14*(13-(1-G14)*MIN(13,F14/E14))</x:f>
        <x:v>364.2352941176471</x:v>
      </x:c>
      <x:c r="Z14" s="17" t="n">
        <x:f>D14*(14-(1-G14)*MIN(14,F14/E14))</x:f>
        <x:v>396.2352941176471</x:v>
      </x:c>
      <x:c r="AA14" s="17" t="n">
        <x:f>D14*(15-(1-G14)*MIN(15,F14/E14))</x:f>
        <x:v>428.2352941176471</x:v>
      </x:c>
      <x:c r="AB14" s="17" t="n">
        <x:f>D14*(16-(1-G14)*MIN(16,F14/E14))</x:f>
        <x:v>460.2352941176471</x:v>
      </x:c>
      <x:c r="AC14" s="17" t="n">
        <x:f>D14*(17-(1-G14)*MIN(17,F14/E14))</x:f>
        <x:v>492.2352941176471</x:v>
      </x:c>
      <x:c r="AD14" s="17" t="n">
        <x:f>D14*(18-(1-G14)*MIN(18,F14/E14))</x:f>
        <x:v>524.2352941176471</x:v>
      </x:c>
      <x:c r="AE14" s="17" t="n">
        <x:f>D14*(19-(1-G14)*MIN(19,F14/E14))</x:f>
        <x:v>556.2352941176471</x:v>
      </x:c>
      <x:c r="AF14" s="17" t="n">
        <x:f>D14*(20-(1-G14)*MIN(20,F14/E14))</x:f>
        <x:v>588.2352941176471</x:v>
      </x:c>
    </x:row>
    <x:row r="15" ht="23" customHeight="1">
      <x:c r="A15" s="2" t="str">
        <x:v>BREN 3 支援型</x:v>
      </x:c>
      <x:c r="B15" s="2" t="n">
        <x:v>30</x:v>
      </x:c>
      <x:c r="C15" s="11" t="n">
        <x:f>IF(B15&lt;='参数'!G7,1,IF(B15&lt;=60,0.75,0.55))</x:f>
        <x:v>1</x:v>
      </x:c>
      <x:c r="D15" s="11" t="n">
        <x:f>'参数'!B7*C15</x:f>
        <x:v>32</x:v>
      </x:c>
      <x:c r="E15" s="11" t="n">
        <x:f>'参数'!D7*'参数'!$B$39*IF('参数'!$B$28=1,C15,1)</x:f>
        <x:v>34</x:v>
      </x:c>
      <x:c r="F15" s="11" t="n">
        <x:f>'参数'!$B$37</x:f>
        <x:v>110</x:v>
      </x:c>
      <x:c r="G15" s="11" t="n">
        <x:f>'参数'!$B$38</x:f>
        <x:v>0.5</x:v>
      </x:c>
      <x:c r="H15" s="2" t="n">
        <x:f>'参数'!$B$23</x:f>
        <x:v>100</x:v>
      </x:c>
      <x:c r="I15" s="2" t="n">
        <x:f>IF(AF15&lt;H15,"n.a.",COUNTIFS(M15:AF15,"&lt;"&amp;H15)+1)</x:f>
        <x:v>5</x:v>
      </x:c>
      <x:c r="J15" s="17" t="n">
        <x:f>IF(I15="n.a.","n.a.",(I15-1)*60000/'参数'!E7)</x:f>
        <x:v>333.3333333333333</x:v>
      </x:c>
      <x:c r="K15" s="17" t="n">
        <x:f>IF(I15="n.a.","n.a.",'参数'!F7*'参数'!$B$29/I15)</x:f>
        <x:v>4</x:v>
      </x:c>
      <x:c r="L15" s="17" t="n">
        <x:f>'参数'!B7*'参数'!F7/('参数'!F7/('参数'!E7/60)+'参数'!I7)</x:f>
        <x:v>231.32530120481928</x:v>
      </x:c>
      <x:c r="M15" s="17" t="n">
        <x:f>D15*(1-(1-G15)*MIN(1,F15/E15))</x:f>
        <x:v>16</x:v>
      </x:c>
      <x:c r="N15" s="17" t="n">
        <x:f>D15*(2-(1-G15)*MIN(2,F15/E15))</x:f>
        <x:v>32</x:v>
      </x:c>
      <x:c r="O15" s="17" t="n">
        <x:f>D15*(3-(1-G15)*MIN(3,F15/E15))</x:f>
        <x:v>48</x:v>
      </x:c>
      <x:c r="P15" s="17" t="n">
        <x:f>D15*(4-(1-G15)*MIN(4,F15/E15))</x:f>
        <x:v>76.23529411764706</x:v>
      </x:c>
      <x:c r="Q15" s="17" t="n">
        <x:f>D15*(5-(1-G15)*MIN(5,F15/E15))</x:f>
        <x:v>108.23529411764706</x:v>
      </x:c>
      <x:c r="R15" s="17" t="n">
        <x:f>D15*(6-(1-G15)*MIN(6,F15/E15))</x:f>
        <x:v>140.23529411764707</x:v>
      </x:c>
      <x:c r="S15" s="17" t="n">
        <x:f>D15*(7-(1-G15)*MIN(7,F15/E15))</x:f>
        <x:v>172.23529411764707</x:v>
      </x:c>
      <x:c r="T15" s="17" t="n">
        <x:f>D15*(8-(1-G15)*MIN(8,F15/E15))</x:f>
        <x:v>204.23529411764707</x:v>
      </x:c>
      <x:c r="U15" s="17" t="n">
        <x:f>D15*(9-(1-G15)*MIN(9,F15/E15))</x:f>
        <x:v>236.23529411764707</x:v>
      </x:c>
      <x:c r="V15" s="17" t="n">
        <x:f>D15*(10-(1-G15)*MIN(10,F15/E15))</x:f>
        <x:v>268.2352941176471</x:v>
      </x:c>
      <x:c r="W15" s="17" t="n">
        <x:f>D15*(11-(1-G15)*MIN(11,F15/E15))</x:f>
        <x:v>300.2352941176471</x:v>
      </x:c>
      <x:c r="X15" s="17" t="n">
        <x:f>D15*(12-(1-G15)*MIN(12,F15/E15))</x:f>
        <x:v>332.2352941176471</x:v>
      </x:c>
      <x:c r="Y15" s="17" t="n">
        <x:f>D15*(13-(1-G15)*MIN(13,F15/E15))</x:f>
        <x:v>364.2352941176471</x:v>
      </x:c>
      <x:c r="Z15" s="17" t="n">
        <x:f>D15*(14-(1-G15)*MIN(14,F15/E15))</x:f>
        <x:v>396.2352941176471</x:v>
      </x:c>
      <x:c r="AA15" s="17" t="n">
        <x:f>D15*(15-(1-G15)*MIN(15,F15/E15))</x:f>
        <x:v>428.2352941176471</x:v>
      </x:c>
      <x:c r="AB15" s="17" t="n">
        <x:f>D15*(16-(1-G15)*MIN(16,F15/E15))</x:f>
        <x:v>460.2352941176471</x:v>
      </x:c>
      <x:c r="AC15" s="17" t="n">
        <x:f>D15*(17-(1-G15)*MIN(17,F15/E15))</x:f>
        <x:v>492.2352941176471</x:v>
      </x:c>
      <x:c r="AD15" s="17" t="n">
        <x:f>D15*(18-(1-G15)*MIN(18,F15/E15))</x:f>
        <x:v>524.2352941176471</x:v>
      </x:c>
      <x:c r="AE15" s="17" t="n">
        <x:f>D15*(19-(1-G15)*MIN(19,F15/E15))</x:f>
        <x:v>556.2352941176471</x:v>
      </x:c>
      <x:c r="AF15" s="17" t="n">
        <x:f>D15*(20-(1-G15)*MIN(20,F15/E15))</x:f>
        <x:v>588.2352941176471</x:v>
      </x:c>
    </x:row>
    <x:row r="16" ht="23" customHeight="1">
      <x:c r="A16" s="2" t="str">
        <x:v>BREN 3 支援型</x:v>
      </x:c>
      <x:c r="B16" s="2" t="n">
        <x:v>50</x:v>
      </x:c>
      <x:c r="C16" s="11" t="n">
        <x:f>IF(B16&lt;='参数'!G7,1,IF(B16&lt;=60,0.75,0.55))</x:f>
        <x:v>1</x:v>
      </x:c>
      <x:c r="D16" s="11" t="n">
        <x:f>'参数'!B7*C16</x:f>
        <x:v>32</x:v>
      </x:c>
      <x:c r="E16" s="11" t="n">
        <x:f>'参数'!D7*'参数'!$B$39*IF('参数'!$B$28=1,C16,1)</x:f>
        <x:v>34</x:v>
      </x:c>
      <x:c r="F16" s="11" t="n">
        <x:f>'参数'!$B$37</x:f>
        <x:v>110</x:v>
      </x:c>
      <x:c r="G16" s="11" t="n">
        <x:f>'参数'!$B$38</x:f>
        <x:v>0.5</x:v>
      </x:c>
      <x:c r="H16" s="2" t="n">
        <x:f>'参数'!$B$23</x:f>
        <x:v>100</x:v>
      </x:c>
      <x:c r="I16" s="2" t="n">
        <x:f>IF(AF16&lt;H16,"n.a.",COUNTIFS(M16:AF16,"&lt;"&amp;H16)+1)</x:f>
        <x:v>5</x:v>
      </x:c>
      <x:c r="J16" s="17" t="n">
        <x:f>IF(I16="n.a.","n.a.",(I16-1)*60000/'参数'!E7)</x:f>
        <x:v>333.3333333333333</x:v>
      </x:c>
      <x:c r="K16" s="17" t="n">
        <x:f>IF(I16="n.a.","n.a.",'参数'!F7*'参数'!$B$29/I16)</x:f>
        <x:v>4</x:v>
      </x:c>
      <x:c r="L16" s="17" t="n">
        <x:f>'参数'!B7*'参数'!F7/('参数'!F7/('参数'!E7/60)+'参数'!I7)</x:f>
        <x:v>231.32530120481928</x:v>
      </x:c>
      <x:c r="M16" s="17" t="n">
        <x:f>D16*(1-(1-G16)*MIN(1,F16/E16))</x:f>
        <x:v>16</x:v>
      </x:c>
      <x:c r="N16" s="17" t="n">
        <x:f>D16*(2-(1-G16)*MIN(2,F16/E16))</x:f>
        <x:v>32</x:v>
      </x:c>
      <x:c r="O16" s="17" t="n">
        <x:f>D16*(3-(1-G16)*MIN(3,F16/E16))</x:f>
        <x:v>48</x:v>
      </x:c>
      <x:c r="P16" s="17" t="n">
        <x:f>D16*(4-(1-G16)*MIN(4,F16/E16))</x:f>
        <x:v>76.23529411764706</x:v>
      </x:c>
      <x:c r="Q16" s="17" t="n">
        <x:f>D16*(5-(1-G16)*MIN(5,F16/E16))</x:f>
        <x:v>108.23529411764706</x:v>
      </x:c>
      <x:c r="R16" s="17" t="n">
        <x:f>D16*(6-(1-G16)*MIN(6,F16/E16))</x:f>
        <x:v>140.23529411764707</x:v>
      </x:c>
      <x:c r="S16" s="17" t="n">
        <x:f>D16*(7-(1-G16)*MIN(7,F16/E16))</x:f>
        <x:v>172.23529411764707</x:v>
      </x:c>
      <x:c r="T16" s="17" t="n">
        <x:f>D16*(8-(1-G16)*MIN(8,F16/E16))</x:f>
        <x:v>204.23529411764707</x:v>
      </x:c>
      <x:c r="U16" s="17" t="n">
        <x:f>D16*(9-(1-G16)*MIN(9,F16/E16))</x:f>
        <x:v>236.23529411764707</x:v>
      </x:c>
      <x:c r="V16" s="17" t="n">
        <x:f>D16*(10-(1-G16)*MIN(10,F16/E16))</x:f>
        <x:v>268.2352941176471</x:v>
      </x:c>
      <x:c r="W16" s="17" t="n">
        <x:f>D16*(11-(1-G16)*MIN(11,F16/E16))</x:f>
        <x:v>300.2352941176471</x:v>
      </x:c>
      <x:c r="X16" s="17" t="n">
        <x:f>D16*(12-(1-G16)*MIN(12,F16/E16))</x:f>
        <x:v>332.2352941176471</x:v>
      </x:c>
      <x:c r="Y16" s="17" t="n">
        <x:f>D16*(13-(1-G16)*MIN(13,F16/E16))</x:f>
        <x:v>364.2352941176471</x:v>
      </x:c>
      <x:c r="Z16" s="17" t="n">
        <x:f>D16*(14-(1-G16)*MIN(14,F16/E16))</x:f>
        <x:v>396.2352941176471</x:v>
      </x:c>
      <x:c r="AA16" s="17" t="n">
        <x:f>D16*(15-(1-G16)*MIN(15,F16/E16))</x:f>
        <x:v>428.2352941176471</x:v>
      </x:c>
      <x:c r="AB16" s="17" t="n">
        <x:f>D16*(16-(1-G16)*MIN(16,F16/E16))</x:f>
        <x:v>460.2352941176471</x:v>
      </x:c>
      <x:c r="AC16" s="17" t="n">
        <x:f>D16*(17-(1-G16)*MIN(17,F16/E16))</x:f>
        <x:v>492.2352941176471</x:v>
      </x:c>
      <x:c r="AD16" s="17" t="n">
        <x:f>D16*(18-(1-G16)*MIN(18,F16/E16))</x:f>
        <x:v>524.2352941176471</x:v>
      </x:c>
      <x:c r="AE16" s="17" t="n">
        <x:f>D16*(19-(1-G16)*MIN(19,F16/E16))</x:f>
        <x:v>556.2352941176471</x:v>
      </x:c>
      <x:c r="AF16" s="17" t="n">
        <x:f>D16*(20-(1-G16)*MIN(20,F16/E16))</x:f>
        <x:v>588.2352941176471</x:v>
      </x:c>
    </x:row>
    <x:row r="17" ht="23" customHeight="1">
      <x:c r="A17" s="2" t="str">
        <x:v>BREN 3 支援型</x:v>
      </x:c>
      <x:c r="B17" s="2" t="n">
        <x:v>80</x:v>
      </x:c>
      <x:c r="C17" s="11" t="n">
        <x:f>IF(B17&lt;='参数'!G7,1,IF(B17&lt;=60,0.75,0.55))</x:f>
        <x:v>0.55</x:v>
      </x:c>
      <x:c r="D17" s="11" t="n">
        <x:f>'参数'!B7*C17</x:f>
        <x:v>17.6</x:v>
      </x:c>
      <x:c r="E17" s="11" t="n">
        <x:f>'参数'!D7*'参数'!$B$39*IF('参数'!$B$28=1,C17,1)</x:f>
        <x:v>34</x:v>
      </x:c>
      <x:c r="F17" s="11" t="n">
        <x:f>'参数'!$B$37</x:f>
        <x:v>110</x:v>
      </x:c>
      <x:c r="G17" s="11" t="n">
        <x:f>'参数'!$B$38</x:f>
        <x:v>0.5</x:v>
      </x:c>
      <x:c r="H17" s="2" t="n">
        <x:f>'参数'!$B$23</x:f>
        <x:v>100</x:v>
      </x:c>
      <x:c r="I17" s="2" t="n">
        <x:f>IF(AF17&lt;H17,"n.a.",COUNTIFS(M17:AF17,"&lt;"&amp;H17)+1)</x:f>
        <x:v>8</x:v>
      </x:c>
      <x:c r="J17" s="17" t="n">
        <x:f>IF(I17="n.a.","n.a.",(I17-1)*60000/'参数'!E7)</x:f>
        <x:v>583.3333333333334</x:v>
      </x:c>
      <x:c r="K17" s="17" t="n">
        <x:f>IF(I17="n.a.","n.a.",'参数'!F7*'参数'!$B$29/I17)</x:f>
        <x:v>2.5</x:v>
      </x:c>
      <x:c r="L17" s="17" t="n">
        <x:f>'参数'!B7*'参数'!F7/('参数'!F7/('参数'!E7/60)+'参数'!I7)</x:f>
        <x:v>231.32530120481928</x:v>
      </x:c>
      <x:c r="M17" s="17" t="n">
        <x:f>D17*(1-(1-G17)*MIN(1,F17/E17))</x:f>
        <x:v>8.8</x:v>
      </x:c>
      <x:c r="N17" s="17" t="n">
        <x:f>D17*(2-(1-G17)*MIN(2,F17/E17))</x:f>
        <x:v>17.6</x:v>
      </x:c>
      <x:c r="O17" s="17" t="n">
        <x:f>D17*(3-(1-G17)*MIN(3,F17/E17))</x:f>
        <x:v>26.400000000000002</x:v>
      </x:c>
      <x:c r="P17" s="17" t="n">
        <x:f>D17*(4-(1-G17)*MIN(4,F17/E17))</x:f>
        <x:v>41.92941176470588</x:v>
      </x:c>
      <x:c r="Q17" s="17" t="n">
        <x:f>D17*(5-(1-G17)*MIN(5,F17/E17))</x:f>
        <x:v>59.529411764705884</x:v>
      </x:c>
      <x:c r="R17" s="17" t="n">
        <x:f>D17*(6-(1-G17)*MIN(6,F17/E17))</x:f>
        <x:v>77.12941176470589</x:v>
      </x:c>
      <x:c r="S17" s="17" t="n">
        <x:f>D17*(7-(1-G17)*MIN(7,F17/E17))</x:f>
        <x:v>94.7294117647059</x:v>
      </x:c>
      <x:c r="T17" s="17" t="n">
        <x:f>D17*(8-(1-G17)*MIN(8,F17/E17))</x:f>
        <x:v>112.3294117647059</x:v>
      </x:c>
      <x:c r="U17" s="17" t="n">
        <x:f>D17*(9-(1-G17)*MIN(9,F17/E17))</x:f>
        <x:v>129.9294117647059</x:v>
      </x:c>
      <x:c r="V17" s="17" t="n">
        <x:f>D17*(10-(1-G17)*MIN(10,F17/E17))</x:f>
        <x:v>147.5294117647059</x:v>
      </x:c>
      <x:c r="W17" s="17" t="n">
        <x:f>D17*(11-(1-G17)*MIN(11,F17/E17))</x:f>
        <x:v>165.1294117647059</x:v>
      </x:c>
      <x:c r="X17" s="17" t="n">
        <x:f>D17*(12-(1-G17)*MIN(12,F17/E17))</x:f>
        <x:v>182.7294117647059</x:v>
      </x:c>
      <x:c r="Y17" s="17" t="n">
        <x:f>D17*(13-(1-G17)*MIN(13,F17/E17))</x:f>
        <x:v>200.3294117647059</x:v>
      </x:c>
      <x:c r="Z17" s="17" t="n">
        <x:f>D17*(14-(1-G17)*MIN(14,F17/E17))</x:f>
        <x:v>217.92941176470592</x:v>
      </x:c>
      <x:c r="AA17" s="17" t="n">
        <x:f>D17*(15-(1-G17)*MIN(15,F17/E17))</x:f>
        <x:v>235.5294117647059</x:v>
      </x:c>
      <x:c r="AB17" s="17" t="n">
        <x:f>D17*(16-(1-G17)*MIN(16,F17/E17))</x:f>
        <x:v>253.1294117647059</x:v>
      </x:c>
      <x:c r="AC17" s="17" t="n">
        <x:f>D17*(17-(1-G17)*MIN(17,F17/E17))</x:f>
        <x:v>270.7294117647059</x:v>
      </x:c>
      <x:c r="AD17" s="17" t="n">
        <x:f>D17*(18-(1-G17)*MIN(18,F17/E17))</x:f>
        <x:v>288.3294117647059</x:v>
      </x:c>
      <x:c r="AE17" s="17" t="n">
        <x:f>D17*(19-(1-G17)*MIN(19,F17/E17))</x:f>
        <x:v>305.9294117647059</x:v>
      </x:c>
      <x:c r="AF17" s="17" t="n">
        <x:f>D17*(20-(1-G17)*MIN(20,F17/E17))</x:f>
        <x:v>323.5294117647059</x:v>
      </x:c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27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</x:row>
    <x:row r="2" ht="23" customHeight="1">
      <x:c r="A2" s="4" t="str">
        <x:v>黑潮逐发累计伤害与致死门槛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  <x:c r="Z2" s="4"/>
      <x:c r="AA2" s="4"/>
      <x:c r="AB2" s="4"/>
      <x:c r="AC2" s="4"/>
      <x:c r="AD2" s="4"/>
      <x:c r="AE2" s="4"/>
      <x:c r="AF2" s="4"/>
      <x:c r="AG2" s="4"/>
    </x:row>
    <x:row r="3" ht="23" customHeight="1">
      <x:c r="A3" s="2" t="str">
        <x:v>未逐发取整。甲伤衰减可切换。机会时间含完整举镜与飞行，用于假设敏感性，未计换弹/切枪/搜敌。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</x:row>
    <x:row r="5" ht="30" customHeight="1">
      <x:c r="A5" s="8" t="str">
        <x:v>配置</x:v>
      </x:c>
      <x:c r="B5" s="8" t="str">
        <x:v>距离 m</x:v>
      </x:c>
      <x:c r="C5" s="8" t="str">
        <x:v>部位</x:v>
      </x:c>
      <x:c r="D5" s="8" t="str">
        <x:v>肉伤保留比</x:v>
      </x:c>
      <x:c r="E5" s="8" t="str">
        <x:v>单发肉伤</x:v>
      </x:c>
      <x:c r="F5" s="8" t="str">
        <x:v>有效甲伤</x:v>
      </x:c>
      <x:c r="G5" s="8" t="str">
        <x:v>起始甲耐久</x:v>
      </x:c>
      <x:c r="H5" s="8" t="str">
        <x:v>受甲比例</x:v>
      </x:c>
      <x:c r="I5" s="8" t="str">
        <x:v>目标生命</x:v>
      </x:c>
      <x:c r="J5" s="8" t="str">
        <x:v>命中发数</x:v>
      </x:c>
      <x:c r="K5" s="8" t="str">
        <x:v>TTK ms</x:v>
      </x:c>
      <x:c r="L5" s="8" t="str">
        <x:v>机会时间 ms</x:v>
      </x:c>
      <x:c r="M5" s="8" t="str">
        <x:v>单匣目标数</x:v>
      </x:c>
      <x:c r="N5" s="8" t="str">
        <x:v>第1发累计肉伤</x:v>
      </x:c>
      <x:c r="O5" s="8" t="str">
        <x:v>第2发累计肉伤</x:v>
      </x:c>
      <x:c r="P5" s="8" t="str">
        <x:v>第3发累计肉伤</x:v>
      </x:c>
      <x:c r="Q5" s="8" t="str">
        <x:v>第4发累计肉伤</x:v>
      </x:c>
      <x:c r="R5" s="8" t="str">
        <x:v>第5发累计肉伤</x:v>
      </x:c>
      <x:c r="S5" s="8" t="str">
        <x:v>第6发累计肉伤</x:v>
      </x:c>
      <x:c r="T5" s="8" t="str">
        <x:v>第7发累计肉伤</x:v>
      </x:c>
      <x:c r="U5" s="8" t="str">
        <x:v>第8发累计肉伤</x:v>
      </x:c>
      <x:c r="V5" s="8" t="str">
        <x:v>第9发累计肉伤</x:v>
      </x:c>
      <x:c r="W5" s="8" t="str">
        <x:v>第10发累计肉伤</x:v>
      </x:c>
      <x:c r="X5" s="8" t="str">
        <x:v>第11发累计肉伤</x:v>
      </x:c>
      <x:c r="Y5" s="8" t="str">
        <x:v>第12发累计肉伤</x:v>
      </x:c>
      <x:c r="Z5" s="8" t="str">
        <x:v>第13发累计肉伤</x:v>
      </x:c>
      <x:c r="AA5" s="8" t="str">
        <x:v>第14发累计肉伤</x:v>
      </x:c>
      <x:c r="AB5" s="8" t="str">
        <x:v>第15发累计肉伤</x:v>
      </x:c>
      <x:c r="AC5" s="8" t="str">
        <x:v>第16发累计肉伤</x:v>
      </x:c>
      <x:c r="AD5" s="8" t="str">
        <x:v>第17发累计肉伤</x:v>
      </x:c>
      <x:c r="AE5" s="8" t="str">
        <x:v>第18发累计肉伤</x:v>
      </x:c>
      <x:c r="AF5" s="8" t="str">
        <x:v>第19发累计肉伤</x:v>
      </x:c>
      <x:c r="AG5" s="8" t="str">
        <x:v>第20发累计肉伤</x:v>
      </x:c>
    </x:row>
    <x:row r="6" ht="23" customHeight="1">
      <x:c r="A6" s="2" t="str">
        <x:v>BREN 3 标准型</x:v>
      </x:c>
      <x:c r="B6" s="2" t="n">
        <x:v>15</x:v>
      </x:c>
      <x:c r="C6" s="2" t="str">
        <x:v>头</x:v>
      </x:c>
      <x:c r="D6" s="16" t="n">
        <x:f>IF(B6&lt;='参数'!G5,1,IF(B6&lt;=60,0.75,0.55))</x:f>
        <x:v>1</x:v>
      </x:c>
      <x:c r="E6" s="16" t="n">
        <x:f>'参数'!C5*D6</x:f>
        <x:v>80</x:v>
      </x:c>
      <x:c r="F6" s="16" t="n">
        <x:f>'参数'!D5*IF('参数'!$B$28=1,D6,1)</x:f>
        <x:v>34</x:v>
      </x:c>
      <x:c r="G6" s="16" t="n">
        <x:f>'参数'!$B$24</x:f>
        <x:v>50</x:v>
      </x:c>
      <x:c r="H6" s="16" t="n">
        <x:f>'参数'!$B$26</x:f>
        <x:v>0.749</x:v>
      </x:c>
      <x:c r="I6" s="16" t="n">
        <x:f>'参数'!$B$23</x:f>
        <x:v>100</x:v>
      </x:c>
      <x:c r="J6" s="2" t="n">
        <x:f>IF(AG6&lt;I6,"n.a.",COUNTIFS(N6:AG6,"&lt;"&amp;I6)+1)</x:f>
        <x:v>2</x:v>
      </x:c>
      <x:c r="K6" s="17" t="n">
        <x:f>IF(J6="n.a.","n.a.",(J6-1)*60000/'参数'!E5)</x:f>
        <x:v>83.33333333333333</x:v>
      </x:c>
      <x:c r="L6" s="17" t="n">
        <x:f>IF(J6="n.a.","n.a.",'参数'!J5+B6/'参数'!H5*1000+(J6/'参数'!$B$29-1)*60000/'参数'!E5)</x:f>
        <x:v>580.5479452054794</x:v>
      </x:c>
      <x:c r="M6" s="17" t="n">
        <x:f>IF(J6="n.a.","n.a.",'参数'!F5*'参数'!$B$29/J6)</x:f>
        <x:v>7.5</x:v>
      </x:c>
      <x:c r="N6" s="17" t="n">
        <x:f>E6*(1-(1-H6)*MIN(1,G6/F6))</x:f>
        <x:v>59.92</x:v>
      </x:c>
      <x:c r="O6" s="17" t="n">
        <x:f>E6*(2-(1-H6)*MIN(2,G6/F6))</x:f>
        <x:v>130.47058823529412</x:v>
      </x:c>
      <x:c r="P6" s="17" t="n">
        <x:f>E6*(3-(1-H6)*MIN(3,G6/F6))</x:f>
        <x:v>210.47058823529412</x:v>
      </x:c>
      <x:c r="Q6" s="17" t="n">
        <x:f>E6*(4-(1-H6)*MIN(4,G6/F6))</x:f>
        <x:v>290.47058823529414</x:v>
      </x:c>
      <x:c r="R6" s="17" t="n">
        <x:f>E6*(5-(1-H6)*MIN(5,G6/F6))</x:f>
        <x:v>370.47058823529414</x:v>
      </x:c>
      <x:c r="S6" s="17" t="n">
        <x:f>E6*(6-(1-H6)*MIN(6,G6/F6))</x:f>
        <x:v>450.47058823529414</x:v>
      </x:c>
      <x:c r="T6" s="17" t="n">
        <x:f>E6*(7-(1-H6)*MIN(7,G6/F6))</x:f>
        <x:v>530.4705882352941</x:v>
      </x:c>
      <x:c r="U6" s="17" t="n">
        <x:f>E6*(8-(1-H6)*MIN(8,G6/F6))</x:f>
        <x:v>610.4705882352941</x:v>
      </x:c>
      <x:c r="V6" s="17" t="n">
        <x:f>E6*(9-(1-H6)*MIN(9,G6/F6))</x:f>
        <x:v>690.4705882352941</x:v>
      </x:c>
      <x:c r="W6" s="17" t="n">
        <x:f>E6*(10-(1-H6)*MIN(10,G6/F6))</x:f>
        <x:v>770.4705882352941</x:v>
      </x:c>
      <x:c r="X6" s="17" t="n">
        <x:f>E6*(11-(1-H6)*MIN(11,G6/F6))</x:f>
        <x:v>850.4705882352941</x:v>
      </x:c>
      <x:c r="Y6" s="17" t="n">
        <x:f>E6*(12-(1-H6)*MIN(12,G6/F6))</x:f>
        <x:v>930.4705882352941</x:v>
      </x:c>
      <x:c r="Z6" s="17" t="n">
        <x:f>E6*(13-(1-H6)*MIN(13,G6/F6))</x:f>
        <x:v>1010.4705882352941</x:v>
      </x:c>
      <x:c r="AA6" s="17" t="n">
        <x:f>E6*(14-(1-H6)*MIN(14,G6/F6))</x:f>
        <x:v>1090.4705882352941</x:v>
      </x:c>
      <x:c r="AB6" s="17" t="n">
        <x:f>E6*(15-(1-H6)*MIN(15,G6/F6))</x:f>
        <x:v>1170.4705882352941</x:v>
      </x:c>
      <x:c r="AC6" s="17" t="n">
        <x:f>E6*(16-(1-H6)*MIN(16,G6/F6))</x:f>
        <x:v>1250.4705882352941</x:v>
      </x:c>
      <x:c r="AD6" s="17" t="n">
        <x:f>E6*(17-(1-H6)*MIN(17,G6/F6))</x:f>
        <x:v>1330.4705882352941</x:v>
      </x:c>
      <x:c r="AE6" s="17" t="n">
        <x:f>E6*(18-(1-H6)*MIN(18,G6/F6))</x:f>
        <x:v>1410.4705882352941</x:v>
      </x:c>
      <x:c r="AF6" s="17" t="n">
        <x:f>E6*(19-(1-H6)*MIN(19,G6/F6))</x:f>
        <x:v>1490.4705882352941</x:v>
      </x:c>
      <x:c r="AG6" s="17" t="n">
        <x:f>E6*(20-(1-H6)*MIN(20,G6/F6))</x:f>
        <x:v>1570.4705882352941</x:v>
      </x:c>
    </x:row>
    <x:row r="7" ht="23" customHeight="1">
      <x:c r="A7" s="2" t="str">
        <x:v>BREN 3 标准型</x:v>
      </x:c>
      <x:c r="B7" s="2" t="n">
        <x:v>15</x:v>
      </x:c>
      <x:c r="C7" s="2" t="str">
        <x:v>胸</x:v>
      </x:c>
      <x:c r="D7" s="16" t="n">
        <x:f>IF(B7&lt;='参数'!G5,1,IF(B7&lt;=60,0.75,0.55))</x:f>
        <x:v>1</x:v>
      </x:c>
      <x:c r="E7" s="16" t="n">
        <x:f>'参数'!B5*D7</x:f>
        <x:v>32</x:v>
      </x:c>
      <x:c r="F7" s="16" t="n">
        <x:f>'参数'!D5*IF('参数'!$B$28=1,D7,1)</x:f>
        <x:v>34</x:v>
      </x:c>
      <x:c r="G7" s="16" t="n">
        <x:f>'参数'!$B$25</x:f>
        <x:v>110</x:v>
      </x:c>
      <x:c r="H7" s="16" t="n">
        <x:f>'参数'!$B$27</x:f>
        <x:v>0.648</x:v>
      </x:c>
      <x:c r="I7" s="16" t="n">
        <x:f>'参数'!$B$23</x:f>
        <x:v>100</x:v>
      </x:c>
      <x:c r="J7" s="2" t="n">
        <x:f>IF(AG7&lt;I7,"n.a.",COUNTIFS(N7:AG7,"&lt;"&amp;I7)+1)</x:f>
        <x:v>5</x:v>
      </x:c>
      <x:c r="K7" s="17" t="n">
        <x:f>IF(J7="n.a.","n.a.",(J7-1)*60000/'参数'!E5)</x:f>
        <x:v>333.3333333333333</x:v>
      </x:c>
      <x:c r="L7" s="17" t="n">
        <x:f>IF(J7="n.a.","n.a.",'参数'!J5+B7/'参数'!H5*1000+(J7/'参数'!$B$29-1)*60000/'参数'!E5)</x:f>
        <x:v>1080.5479452054794</x:v>
      </x:c>
      <x:c r="M7" s="17" t="n">
        <x:f>IF(J7="n.a.","n.a.",'参数'!F5*'参数'!$B$29/J7)</x:f>
        <x:v>3</x:v>
      </x:c>
      <x:c r="N7" s="17" t="n">
        <x:f>E7*(1-(1-H7)*MIN(1,G7/F7))</x:f>
        <x:v>20.736</x:v>
      </x:c>
      <x:c r="O7" s="17" t="n">
        <x:f>E7*(2-(1-H7)*MIN(2,G7/F7))</x:f>
        <x:v>41.472</x:v>
      </x:c>
      <x:c r="P7" s="17" t="n">
        <x:f>E7*(3-(1-H7)*MIN(3,G7/F7))</x:f>
        <x:v>62.208</x:v>
      </x:c>
      <x:c r="Q7" s="17" t="n">
        <x:f>E7*(4-(1-H7)*MIN(4,G7/F7))</x:f>
        <x:v>91.55764705882353</x:v>
      </x:c>
      <x:c r="R7" s="17" t="n">
        <x:f>E7*(5-(1-H7)*MIN(5,G7/F7))</x:f>
        <x:v>123.55764705882353</x:v>
      </x:c>
      <x:c r="S7" s="17" t="n">
        <x:f>E7*(6-(1-H7)*MIN(6,G7/F7))</x:f>
        <x:v>155.55764705882353</x:v>
      </x:c>
      <x:c r="T7" s="17" t="n">
        <x:f>E7*(7-(1-H7)*MIN(7,G7/F7))</x:f>
        <x:v>187.55764705882353</x:v>
      </x:c>
      <x:c r="U7" s="17" t="n">
        <x:f>E7*(8-(1-H7)*MIN(8,G7/F7))</x:f>
        <x:v>219.55764705882353</x:v>
      </x:c>
      <x:c r="V7" s="17" t="n">
        <x:f>E7*(9-(1-H7)*MIN(9,G7/F7))</x:f>
        <x:v>251.55764705882353</x:v>
      </x:c>
      <x:c r="W7" s="17" t="n">
        <x:f>E7*(10-(1-H7)*MIN(10,G7/F7))</x:f>
        <x:v>283.55764705882353</x:v>
      </x:c>
      <x:c r="X7" s="17" t="n">
        <x:f>E7*(11-(1-H7)*MIN(11,G7/F7))</x:f>
        <x:v>315.55764705882353</x:v>
      </x:c>
      <x:c r="Y7" s="17" t="n">
        <x:f>E7*(12-(1-H7)*MIN(12,G7/F7))</x:f>
        <x:v>347.55764705882353</x:v>
      </x:c>
      <x:c r="Z7" s="17" t="n">
        <x:f>E7*(13-(1-H7)*MIN(13,G7/F7))</x:f>
        <x:v>379.55764705882353</x:v>
      </x:c>
      <x:c r="AA7" s="17" t="n">
        <x:f>E7*(14-(1-H7)*MIN(14,G7/F7))</x:f>
        <x:v>411.55764705882353</x:v>
      </x:c>
      <x:c r="AB7" s="17" t="n">
        <x:f>E7*(15-(1-H7)*MIN(15,G7/F7))</x:f>
        <x:v>443.55764705882353</x:v>
      </x:c>
      <x:c r="AC7" s="17" t="n">
        <x:f>E7*(16-(1-H7)*MIN(16,G7/F7))</x:f>
        <x:v>475.55764705882353</x:v>
      </x:c>
      <x:c r="AD7" s="17" t="n">
        <x:f>E7*(17-(1-H7)*MIN(17,G7/F7))</x:f>
        <x:v>507.55764705882353</x:v>
      </x:c>
      <x:c r="AE7" s="17" t="n">
        <x:f>E7*(18-(1-H7)*MIN(18,G7/F7))</x:f>
        <x:v>539.5576470588235</x:v>
      </x:c>
      <x:c r="AF7" s="17" t="n">
        <x:f>E7*(19-(1-H7)*MIN(19,G7/F7))</x:f>
        <x:v>571.5576470588235</x:v>
      </x:c>
      <x:c r="AG7" s="17" t="n">
        <x:f>E7*(20-(1-H7)*MIN(20,G7/F7))</x:f>
        <x:v>603.5576470588235</x:v>
      </x:c>
    </x:row>
    <x:row r="8" ht="23" customHeight="1">
      <x:c r="A8" s="2" t="str">
        <x:v>BREN 3 标准型</x:v>
      </x:c>
      <x:c r="B8" s="2" t="n">
        <x:v>30</x:v>
      </x:c>
      <x:c r="C8" s="2" t="str">
        <x:v>头</x:v>
      </x:c>
      <x:c r="D8" s="16" t="n">
        <x:f>IF(B8&lt;='参数'!G5,1,IF(B8&lt;=60,0.75,0.55))</x:f>
        <x:v>1</x:v>
      </x:c>
      <x:c r="E8" s="16" t="n">
        <x:f>'参数'!C5*D8</x:f>
        <x:v>80</x:v>
      </x:c>
      <x:c r="F8" s="16" t="n">
        <x:f>'参数'!D5*IF('参数'!$B$28=1,D8,1)</x:f>
        <x:v>34</x:v>
      </x:c>
      <x:c r="G8" s="16" t="n">
        <x:f>'参数'!$B$24</x:f>
        <x:v>50</x:v>
      </x:c>
      <x:c r="H8" s="16" t="n">
        <x:f>'参数'!$B$26</x:f>
        <x:v>0.749</x:v>
      </x:c>
      <x:c r="I8" s="16" t="n">
        <x:f>'参数'!$B$23</x:f>
        <x:v>100</x:v>
      </x:c>
      <x:c r="J8" s="2" t="n">
        <x:f>IF(AG8&lt;I8,"n.a.",COUNTIFS(N8:AG8,"&lt;"&amp;I8)+1)</x:f>
        <x:v>2</x:v>
      </x:c>
      <x:c r="K8" s="17" t="n">
        <x:f>IF(J8="n.a.","n.a.",(J8-1)*60000/'参数'!E5)</x:f>
        <x:v>83.33333333333333</x:v>
      </x:c>
      <x:c r="L8" s="17" t="n">
        <x:f>IF(J8="n.a.","n.a.",'参数'!J5+B8/'参数'!H5*1000+(J8/'参数'!$B$29-1)*60000/'参数'!E5)</x:f>
        <x:v>601.0958904109589</x:v>
      </x:c>
      <x:c r="M8" s="17" t="n">
        <x:f>IF(J8="n.a.","n.a.",'参数'!F5*'参数'!$B$29/J8)</x:f>
        <x:v>7.5</x:v>
      </x:c>
      <x:c r="N8" s="17" t="n">
        <x:f>E8*(1-(1-H8)*MIN(1,G8/F8))</x:f>
        <x:v>59.92</x:v>
      </x:c>
      <x:c r="O8" s="17" t="n">
        <x:f>E8*(2-(1-H8)*MIN(2,G8/F8))</x:f>
        <x:v>130.47058823529412</x:v>
      </x:c>
      <x:c r="P8" s="17" t="n">
        <x:f>E8*(3-(1-H8)*MIN(3,G8/F8))</x:f>
        <x:v>210.47058823529412</x:v>
      </x:c>
      <x:c r="Q8" s="17" t="n">
        <x:f>E8*(4-(1-H8)*MIN(4,G8/F8))</x:f>
        <x:v>290.47058823529414</x:v>
      </x:c>
      <x:c r="R8" s="17" t="n">
        <x:f>E8*(5-(1-H8)*MIN(5,G8/F8))</x:f>
        <x:v>370.47058823529414</x:v>
      </x:c>
      <x:c r="S8" s="17" t="n">
        <x:f>E8*(6-(1-H8)*MIN(6,G8/F8))</x:f>
        <x:v>450.47058823529414</x:v>
      </x:c>
      <x:c r="T8" s="17" t="n">
        <x:f>E8*(7-(1-H8)*MIN(7,G8/F8))</x:f>
        <x:v>530.4705882352941</x:v>
      </x:c>
      <x:c r="U8" s="17" t="n">
        <x:f>E8*(8-(1-H8)*MIN(8,G8/F8))</x:f>
        <x:v>610.4705882352941</x:v>
      </x:c>
      <x:c r="V8" s="17" t="n">
        <x:f>E8*(9-(1-H8)*MIN(9,G8/F8))</x:f>
        <x:v>690.4705882352941</x:v>
      </x:c>
      <x:c r="W8" s="17" t="n">
        <x:f>E8*(10-(1-H8)*MIN(10,G8/F8))</x:f>
        <x:v>770.4705882352941</x:v>
      </x:c>
      <x:c r="X8" s="17" t="n">
        <x:f>E8*(11-(1-H8)*MIN(11,G8/F8))</x:f>
        <x:v>850.4705882352941</x:v>
      </x:c>
      <x:c r="Y8" s="17" t="n">
        <x:f>E8*(12-(1-H8)*MIN(12,G8/F8))</x:f>
        <x:v>930.4705882352941</x:v>
      </x:c>
      <x:c r="Z8" s="17" t="n">
        <x:f>E8*(13-(1-H8)*MIN(13,G8/F8))</x:f>
        <x:v>1010.4705882352941</x:v>
      </x:c>
      <x:c r="AA8" s="17" t="n">
        <x:f>E8*(14-(1-H8)*MIN(14,G8/F8))</x:f>
        <x:v>1090.4705882352941</x:v>
      </x:c>
      <x:c r="AB8" s="17" t="n">
        <x:f>E8*(15-(1-H8)*MIN(15,G8/F8))</x:f>
        <x:v>1170.4705882352941</x:v>
      </x:c>
      <x:c r="AC8" s="17" t="n">
        <x:f>E8*(16-(1-H8)*MIN(16,G8/F8))</x:f>
        <x:v>1250.4705882352941</x:v>
      </x:c>
      <x:c r="AD8" s="17" t="n">
        <x:f>E8*(17-(1-H8)*MIN(17,G8/F8))</x:f>
        <x:v>1330.4705882352941</x:v>
      </x:c>
      <x:c r="AE8" s="17" t="n">
        <x:f>E8*(18-(1-H8)*MIN(18,G8/F8))</x:f>
        <x:v>1410.4705882352941</x:v>
      </x:c>
      <x:c r="AF8" s="17" t="n">
        <x:f>E8*(19-(1-H8)*MIN(19,G8/F8))</x:f>
        <x:v>1490.4705882352941</x:v>
      </x:c>
      <x:c r="AG8" s="17" t="n">
        <x:f>E8*(20-(1-H8)*MIN(20,G8/F8))</x:f>
        <x:v>1570.4705882352941</x:v>
      </x:c>
    </x:row>
    <x:row r="9" ht="23" customHeight="1">
      <x:c r="A9" s="2" t="str">
        <x:v>BREN 3 标准型</x:v>
      </x:c>
      <x:c r="B9" s="2" t="n">
        <x:v>30</x:v>
      </x:c>
      <x:c r="C9" s="2" t="str">
        <x:v>胸</x:v>
      </x:c>
      <x:c r="D9" s="16" t="n">
        <x:f>IF(B9&lt;='参数'!G5,1,IF(B9&lt;=60,0.75,0.55))</x:f>
        <x:v>1</x:v>
      </x:c>
      <x:c r="E9" s="16" t="n">
        <x:f>'参数'!B5*D9</x:f>
        <x:v>32</x:v>
      </x:c>
      <x:c r="F9" s="16" t="n">
        <x:f>'参数'!D5*IF('参数'!$B$28=1,D9,1)</x:f>
        <x:v>34</x:v>
      </x:c>
      <x:c r="G9" s="16" t="n">
        <x:f>'参数'!$B$25</x:f>
        <x:v>110</x:v>
      </x:c>
      <x:c r="H9" s="16" t="n">
        <x:f>'参数'!$B$27</x:f>
        <x:v>0.648</x:v>
      </x:c>
      <x:c r="I9" s="16" t="n">
        <x:f>'参数'!$B$23</x:f>
        <x:v>100</x:v>
      </x:c>
      <x:c r="J9" s="2" t="n">
        <x:f>IF(AG9&lt;I9,"n.a.",COUNTIFS(N9:AG9,"&lt;"&amp;I9)+1)</x:f>
        <x:v>5</x:v>
      </x:c>
      <x:c r="K9" s="17" t="n">
        <x:f>IF(J9="n.a.","n.a.",(J9-1)*60000/'参数'!E5)</x:f>
        <x:v>333.3333333333333</x:v>
      </x:c>
      <x:c r="L9" s="17" t="n">
        <x:f>IF(J9="n.a.","n.a.",'参数'!J5+B9/'参数'!H5*1000+(J9/'参数'!$B$29-1)*60000/'参数'!E5)</x:f>
        <x:v>1101.0958904109589</x:v>
      </x:c>
      <x:c r="M9" s="17" t="n">
        <x:f>IF(J9="n.a.","n.a.",'参数'!F5*'参数'!$B$29/J9)</x:f>
        <x:v>3</x:v>
      </x:c>
      <x:c r="N9" s="17" t="n">
        <x:f>E9*(1-(1-H9)*MIN(1,G9/F9))</x:f>
        <x:v>20.736</x:v>
      </x:c>
      <x:c r="O9" s="17" t="n">
        <x:f>E9*(2-(1-H9)*MIN(2,G9/F9))</x:f>
        <x:v>41.472</x:v>
      </x:c>
      <x:c r="P9" s="17" t="n">
        <x:f>E9*(3-(1-H9)*MIN(3,G9/F9))</x:f>
        <x:v>62.208</x:v>
      </x:c>
      <x:c r="Q9" s="17" t="n">
        <x:f>E9*(4-(1-H9)*MIN(4,G9/F9))</x:f>
        <x:v>91.55764705882353</x:v>
      </x:c>
      <x:c r="R9" s="17" t="n">
        <x:f>E9*(5-(1-H9)*MIN(5,G9/F9))</x:f>
        <x:v>123.55764705882353</x:v>
      </x:c>
      <x:c r="S9" s="17" t="n">
        <x:f>E9*(6-(1-H9)*MIN(6,G9/F9))</x:f>
        <x:v>155.55764705882353</x:v>
      </x:c>
      <x:c r="T9" s="17" t="n">
        <x:f>E9*(7-(1-H9)*MIN(7,G9/F9))</x:f>
        <x:v>187.55764705882353</x:v>
      </x:c>
      <x:c r="U9" s="17" t="n">
        <x:f>E9*(8-(1-H9)*MIN(8,G9/F9))</x:f>
        <x:v>219.55764705882353</x:v>
      </x:c>
      <x:c r="V9" s="17" t="n">
        <x:f>E9*(9-(1-H9)*MIN(9,G9/F9))</x:f>
        <x:v>251.55764705882353</x:v>
      </x:c>
      <x:c r="W9" s="17" t="n">
        <x:f>E9*(10-(1-H9)*MIN(10,G9/F9))</x:f>
        <x:v>283.55764705882353</x:v>
      </x:c>
      <x:c r="X9" s="17" t="n">
        <x:f>E9*(11-(1-H9)*MIN(11,G9/F9))</x:f>
        <x:v>315.55764705882353</x:v>
      </x:c>
      <x:c r="Y9" s="17" t="n">
        <x:f>E9*(12-(1-H9)*MIN(12,G9/F9))</x:f>
        <x:v>347.55764705882353</x:v>
      </x:c>
      <x:c r="Z9" s="17" t="n">
        <x:f>E9*(13-(1-H9)*MIN(13,G9/F9))</x:f>
        <x:v>379.55764705882353</x:v>
      </x:c>
      <x:c r="AA9" s="17" t="n">
        <x:f>E9*(14-(1-H9)*MIN(14,G9/F9))</x:f>
        <x:v>411.55764705882353</x:v>
      </x:c>
      <x:c r="AB9" s="17" t="n">
        <x:f>E9*(15-(1-H9)*MIN(15,G9/F9))</x:f>
        <x:v>443.55764705882353</x:v>
      </x:c>
      <x:c r="AC9" s="17" t="n">
        <x:f>E9*(16-(1-H9)*MIN(16,G9/F9))</x:f>
        <x:v>475.55764705882353</x:v>
      </x:c>
      <x:c r="AD9" s="17" t="n">
        <x:f>E9*(17-(1-H9)*MIN(17,G9/F9))</x:f>
        <x:v>507.55764705882353</x:v>
      </x:c>
      <x:c r="AE9" s="17" t="n">
        <x:f>E9*(18-(1-H9)*MIN(18,G9/F9))</x:f>
        <x:v>539.5576470588235</x:v>
      </x:c>
      <x:c r="AF9" s="17" t="n">
        <x:f>E9*(19-(1-H9)*MIN(19,G9/F9))</x:f>
        <x:v>571.5576470588235</x:v>
      </x:c>
      <x:c r="AG9" s="17" t="n">
        <x:f>E9*(20-(1-H9)*MIN(20,G9/F9))</x:f>
        <x:v>603.5576470588235</x:v>
      </x:c>
    </x:row>
    <x:row r="10" ht="23" customHeight="1">
      <x:c r="A10" s="2" t="str">
        <x:v>BREN 3 标准型</x:v>
      </x:c>
      <x:c r="B10" s="2" t="n">
        <x:v>50</x:v>
      </x:c>
      <x:c r="C10" s="2" t="str">
        <x:v>头</x:v>
      </x:c>
      <x:c r="D10" s="16" t="n">
        <x:f>IF(B10&lt;='参数'!G5,1,IF(B10&lt;=60,0.75,0.55))</x:f>
        <x:v>0.75</x:v>
      </x:c>
      <x:c r="E10" s="16" t="n">
        <x:f>'参数'!C5*D10</x:f>
        <x:v>60</x:v>
      </x:c>
      <x:c r="F10" s="16" t="n">
        <x:f>'参数'!D5*IF('参数'!$B$28=1,D10,1)</x:f>
        <x:v>34</x:v>
      </x:c>
      <x:c r="G10" s="16" t="n">
        <x:f>'参数'!$B$24</x:f>
        <x:v>50</x:v>
      </x:c>
      <x:c r="H10" s="16" t="n">
        <x:f>'参数'!$B$26</x:f>
        <x:v>0.749</x:v>
      </x:c>
      <x:c r="I10" s="16" t="n">
        <x:f>'参数'!$B$23</x:f>
        <x:v>100</x:v>
      </x:c>
      <x:c r="J10" s="2" t="n">
        <x:f>IF(AG10&lt;I10,"n.a.",COUNTIFS(N10:AG10,"&lt;"&amp;I10)+1)</x:f>
        <x:v>3</x:v>
      </x:c>
      <x:c r="K10" s="17" t="n">
        <x:f>IF(J10="n.a.","n.a.",(J10-1)*60000/'参数'!E5)</x:f>
        <x:v>166.66666666666666</x:v>
      </x:c>
      <x:c r="L10" s="17" t="n">
        <x:f>IF(J10="n.a.","n.a.",'参数'!J5+B10/'参数'!H5*1000+(J10/'参数'!$B$29-1)*60000/'参数'!E5)</x:f>
        <x:v>795.1598173515981</x:v>
      </x:c>
      <x:c r="M10" s="17" t="n">
        <x:f>IF(J10="n.a.","n.a.",'参数'!F5*'参数'!$B$29/J10)</x:f>
        <x:v>5</x:v>
      </x:c>
      <x:c r="N10" s="17" t="n">
        <x:f>E10*(1-(1-H10)*MIN(1,G10/F10))</x:f>
        <x:v>44.94</x:v>
      </x:c>
      <x:c r="O10" s="17" t="n">
        <x:f>E10*(2-(1-H10)*MIN(2,G10/F10))</x:f>
        <x:v>97.85294117647058</x:v>
      </x:c>
      <x:c r="P10" s="17" t="n">
        <x:f>E10*(3-(1-H10)*MIN(3,G10/F10))</x:f>
        <x:v>157.85294117647058</x:v>
      </x:c>
      <x:c r="Q10" s="17" t="n">
        <x:f>E10*(4-(1-H10)*MIN(4,G10/F10))</x:f>
        <x:v>217.85294117647058</x:v>
      </x:c>
      <x:c r="R10" s="17" t="n">
        <x:f>E10*(5-(1-H10)*MIN(5,G10/F10))</x:f>
        <x:v>277.8529411764706</x:v>
      </x:c>
      <x:c r="S10" s="17" t="n">
        <x:f>E10*(6-(1-H10)*MIN(6,G10/F10))</x:f>
        <x:v>337.8529411764706</x:v>
      </x:c>
      <x:c r="T10" s="17" t="n">
        <x:f>E10*(7-(1-H10)*MIN(7,G10/F10))</x:f>
        <x:v>397.8529411764706</x:v>
      </x:c>
      <x:c r="U10" s="17" t="n">
        <x:f>E10*(8-(1-H10)*MIN(8,G10/F10))</x:f>
        <x:v>457.8529411764706</x:v>
      </x:c>
      <x:c r="V10" s="17" t="n">
        <x:f>E10*(9-(1-H10)*MIN(9,G10/F10))</x:f>
        <x:v>517.8529411764706</x:v>
      </x:c>
      <x:c r="W10" s="17" t="n">
        <x:f>E10*(10-(1-H10)*MIN(10,G10/F10))</x:f>
        <x:v>577.8529411764706</x:v>
      </x:c>
      <x:c r="X10" s="17" t="n">
        <x:f>E10*(11-(1-H10)*MIN(11,G10/F10))</x:f>
        <x:v>637.8529411764706</x:v>
      </x:c>
      <x:c r="Y10" s="17" t="n">
        <x:f>E10*(12-(1-H10)*MIN(12,G10/F10))</x:f>
        <x:v>697.8529411764706</x:v>
      </x:c>
      <x:c r="Z10" s="17" t="n">
        <x:f>E10*(13-(1-H10)*MIN(13,G10/F10))</x:f>
        <x:v>757.8529411764706</x:v>
      </x:c>
      <x:c r="AA10" s="17" t="n">
        <x:f>E10*(14-(1-H10)*MIN(14,G10/F10))</x:f>
        <x:v>817.8529411764706</x:v>
      </x:c>
      <x:c r="AB10" s="17" t="n">
        <x:f>E10*(15-(1-H10)*MIN(15,G10/F10))</x:f>
        <x:v>877.8529411764706</x:v>
      </x:c>
      <x:c r="AC10" s="17" t="n">
        <x:f>E10*(16-(1-H10)*MIN(16,G10/F10))</x:f>
        <x:v>937.8529411764706</x:v>
      </x:c>
      <x:c r="AD10" s="17" t="n">
        <x:f>E10*(17-(1-H10)*MIN(17,G10/F10))</x:f>
        <x:v>997.8529411764707</x:v>
      </x:c>
      <x:c r="AE10" s="17" t="n">
        <x:f>E10*(18-(1-H10)*MIN(18,G10/F10))</x:f>
        <x:v>1057.8529411764707</x:v>
      </x:c>
      <x:c r="AF10" s="17" t="n">
        <x:f>E10*(19-(1-H10)*MIN(19,G10/F10))</x:f>
        <x:v>1117.8529411764707</x:v>
      </x:c>
      <x:c r="AG10" s="17" t="n">
        <x:f>E10*(20-(1-H10)*MIN(20,G10/F10))</x:f>
        <x:v>1177.8529411764707</x:v>
      </x:c>
    </x:row>
    <x:row r="11" ht="23" customHeight="1">
      <x:c r="A11" s="2" t="str">
        <x:v>BREN 3 标准型</x:v>
      </x:c>
      <x:c r="B11" s="2" t="n">
        <x:v>50</x:v>
      </x:c>
      <x:c r="C11" s="2" t="str">
        <x:v>胸</x:v>
      </x:c>
      <x:c r="D11" s="16" t="n">
        <x:f>IF(B11&lt;='参数'!G5,1,IF(B11&lt;=60,0.75,0.55))</x:f>
        <x:v>0.75</x:v>
      </x:c>
      <x:c r="E11" s="16" t="n">
        <x:f>'参数'!B5*D11</x:f>
        <x:v>24</x:v>
      </x:c>
      <x:c r="F11" s="16" t="n">
        <x:f>'参数'!D5*IF('参数'!$B$28=1,D11,1)</x:f>
        <x:v>34</x:v>
      </x:c>
      <x:c r="G11" s="16" t="n">
        <x:f>'参数'!$B$25</x:f>
        <x:v>110</x:v>
      </x:c>
      <x:c r="H11" s="16" t="n">
        <x:f>'参数'!$B$27</x:f>
        <x:v>0.648</x:v>
      </x:c>
      <x:c r="I11" s="16" t="n">
        <x:f>'参数'!$B$23</x:f>
        <x:v>100</x:v>
      </x:c>
      <x:c r="J11" s="2" t="n">
        <x:f>IF(AG11&lt;I11,"n.a.",COUNTIFS(N11:AG11,"&lt;"&amp;I11)+1)</x:f>
        <x:v>6</x:v>
      </x:c>
      <x:c r="K11" s="17" t="n">
        <x:f>IF(J11="n.a.","n.a.",(J11-1)*60000/'参数'!E5)</x:f>
        <x:v>416.6666666666667</x:v>
      </x:c>
      <x:c r="L11" s="17" t="n">
        <x:f>IF(J11="n.a.","n.a.",'参数'!J5+B11/'参数'!H5*1000+(J11/'参数'!$B$29-1)*60000/'参数'!E5)</x:f>
        <x:v>1295.1598173515981</x:v>
      </x:c>
      <x:c r="M11" s="17" t="n">
        <x:f>IF(J11="n.a.","n.a.",'参数'!F5*'参数'!$B$29/J11)</x:f>
        <x:v>2.5</x:v>
      </x:c>
      <x:c r="N11" s="17" t="n">
        <x:f>E11*(1-(1-H11)*MIN(1,G11/F11))</x:f>
        <x:v>15.552</x:v>
      </x:c>
      <x:c r="O11" s="17" t="n">
        <x:f>E11*(2-(1-H11)*MIN(2,G11/F11))</x:f>
        <x:v>31.104</x:v>
      </x:c>
      <x:c r="P11" s="17" t="n">
        <x:f>E11*(3-(1-H11)*MIN(3,G11/F11))</x:f>
        <x:v>46.656</x:v>
      </x:c>
      <x:c r="Q11" s="17" t="n">
        <x:f>E11*(4-(1-H11)*MIN(4,G11/F11))</x:f>
        <x:v>68.66823529411765</x:v>
      </x:c>
      <x:c r="R11" s="17" t="n">
        <x:f>E11*(5-(1-H11)*MIN(5,G11/F11))</x:f>
        <x:v>92.66823529411765</x:v>
      </x:c>
      <x:c r="S11" s="17" t="n">
        <x:f>E11*(6-(1-H11)*MIN(6,G11/F11))</x:f>
        <x:v>116.66823529411765</x:v>
      </x:c>
      <x:c r="T11" s="17" t="n">
        <x:f>E11*(7-(1-H11)*MIN(7,G11/F11))</x:f>
        <x:v>140.66823529411766</x:v>
      </x:c>
      <x:c r="U11" s="17" t="n">
        <x:f>E11*(8-(1-H11)*MIN(8,G11/F11))</x:f>
        <x:v>164.66823529411766</x:v>
      </x:c>
      <x:c r="V11" s="17" t="n">
        <x:f>E11*(9-(1-H11)*MIN(9,G11/F11))</x:f>
        <x:v>188.66823529411766</x:v>
      </x:c>
      <x:c r="W11" s="17" t="n">
        <x:f>E11*(10-(1-H11)*MIN(10,G11/F11))</x:f>
        <x:v>212.66823529411766</x:v>
      </x:c>
      <x:c r="X11" s="17" t="n">
        <x:f>E11*(11-(1-H11)*MIN(11,G11/F11))</x:f>
        <x:v>236.66823529411766</x:v>
      </x:c>
      <x:c r="Y11" s="17" t="n">
        <x:f>E11*(12-(1-H11)*MIN(12,G11/F11))</x:f>
        <x:v>260.66823529411766</x:v>
      </x:c>
      <x:c r="Z11" s="17" t="n">
        <x:f>E11*(13-(1-H11)*MIN(13,G11/F11))</x:f>
        <x:v>284.66823529411766</x:v>
      </x:c>
      <x:c r="AA11" s="17" t="n">
        <x:f>E11*(14-(1-H11)*MIN(14,G11/F11))</x:f>
        <x:v>308.66823529411766</x:v>
      </x:c>
      <x:c r="AB11" s="17" t="n">
        <x:f>E11*(15-(1-H11)*MIN(15,G11/F11))</x:f>
        <x:v>332.66823529411766</x:v>
      </x:c>
      <x:c r="AC11" s="17" t="n">
        <x:f>E11*(16-(1-H11)*MIN(16,G11/F11))</x:f>
        <x:v>356.66823529411766</x:v>
      </x:c>
      <x:c r="AD11" s="17" t="n">
        <x:f>E11*(17-(1-H11)*MIN(17,G11/F11))</x:f>
        <x:v>380.66823529411766</x:v>
      </x:c>
      <x:c r="AE11" s="17" t="n">
        <x:f>E11*(18-(1-H11)*MIN(18,G11/F11))</x:f>
        <x:v>404.6682352941176</x:v>
      </x:c>
      <x:c r="AF11" s="17" t="n">
        <x:f>E11*(19-(1-H11)*MIN(19,G11/F11))</x:f>
        <x:v>428.6682352941176</x:v>
      </x:c>
      <x:c r="AG11" s="17" t="n">
        <x:f>E11*(20-(1-H11)*MIN(20,G11/F11))</x:f>
        <x:v>452.6682352941176</x:v>
      </x:c>
    </x:row>
    <x:row r="12" ht="23" customHeight="1">
      <x:c r="A12" s="2" t="str">
        <x:v>BREN 3 标准型</x:v>
      </x:c>
      <x:c r="B12" s="2" t="n">
        <x:v>80</x:v>
      </x:c>
      <x:c r="C12" s="2" t="str">
        <x:v>头</x:v>
      </x:c>
      <x:c r="D12" s="16" t="n">
        <x:f>IF(B12&lt;='参数'!G5,1,IF(B12&lt;=60,0.75,0.55))</x:f>
        <x:v>0.55</x:v>
      </x:c>
      <x:c r="E12" s="16" t="n">
        <x:f>'参数'!C5*D12</x:f>
        <x:v>44</x:v>
      </x:c>
      <x:c r="F12" s="16" t="n">
        <x:f>'参数'!D5*IF('参数'!$B$28=1,D12,1)</x:f>
        <x:v>34</x:v>
      </x:c>
      <x:c r="G12" s="16" t="n">
        <x:f>'参数'!$B$24</x:f>
        <x:v>50</x:v>
      </x:c>
      <x:c r="H12" s="16" t="n">
        <x:f>'参数'!$B$26</x:f>
        <x:v>0.749</x:v>
      </x:c>
      <x:c r="I12" s="16" t="n">
        <x:f>'参数'!$B$23</x:f>
        <x:v>100</x:v>
      </x:c>
      <x:c r="J12" s="2" t="n">
        <x:f>IF(AG12&lt;I12,"n.a.",COUNTIFS(N12:AG12,"&lt;"&amp;I12)+1)</x:f>
        <x:v>3</x:v>
      </x:c>
      <x:c r="K12" s="17" t="n">
        <x:f>IF(J12="n.a.","n.a.",(J12-1)*60000/'参数'!E5)</x:f>
        <x:v>166.66666666666666</x:v>
      </x:c>
      <x:c r="L12" s="17" t="n">
        <x:f>IF(J12="n.a.","n.a.",'参数'!J5+B12/'参数'!H5*1000+(J12/'参数'!$B$29-1)*60000/'参数'!E5)</x:f>
        <x:v>836.2557077625571</x:v>
      </x:c>
      <x:c r="M12" s="17" t="n">
        <x:f>IF(J12="n.a.","n.a.",'参数'!F5*'参数'!$B$29/J12)</x:f>
        <x:v>5</x:v>
      </x:c>
      <x:c r="N12" s="17" t="n">
        <x:f>E12*(1-(1-H12)*MIN(1,G12/F12))</x:f>
        <x:v>32.956</x:v>
      </x:c>
      <x:c r="O12" s="17" t="n">
        <x:f>E12*(2-(1-H12)*MIN(2,G12/F12))</x:f>
        <x:v>71.75882352941176</x:v>
      </x:c>
      <x:c r="P12" s="17" t="n">
        <x:f>E12*(3-(1-H12)*MIN(3,G12/F12))</x:f>
        <x:v>115.75882352941176</x:v>
      </x:c>
      <x:c r="Q12" s="17" t="n">
        <x:f>E12*(4-(1-H12)*MIN(4,G12/F12))</x:f>
        <x:v>159.75882352941176</x:v>
      </x:c>
      <x:c r="R12" s="17" t="n">
        <x:f>E12*(5-(1-H12)*MIN(5,G12/F12))</x:f>
        <x:v>203.75882352941176</x:v>
      </x:c>
      <x:c r="S12" s="17" t="n">
        <x:f>E12*(6-(1-H12)*MIN(6,G12/F12))</x:f>
        <x:v>247.75882352941176</x:v>
      </x:c>
      <x:c r="T12" s="17" t="n">
        <x:f>E12*(7-(1-H12)*MIN(7,G12/F12))</x:f>
        <x:v>291.75882352941176</x:v>
      </x:c>
      <x:c r="U12" s="17" t="n">
        <x:f>E12*(8-(1-H12)*MIN(8,G12/F12))</x:f>
        <x:v>335.75882352941176</x:v>
      </x:c>
      <x:c r="V12" s="17" t="n">
        <x:f>E12*(9-(1-H12)*MIN(9,G12/F12))</x:f>
        <x:v>379.75882352941176</x:v>
      </x:c>
      <x:c r="W12" s="17" t="n">
        <x:f>E12*(10-(1-H12)*MIN(10,G12/F12))</x:f>
        <x:v>423.75882352941176</x:v>
      </x:c>
      <x:c r="X12" s="17" t="n">
        <x:f>E12*(11-(1-H12)*MIN(11,G12/F12))</x:f>
        <x:v>467.75882352941176</x:v>
      </x:c>
      <x:c r="Y12" s="17" t="n">
        <x:f>E12*(12-(1-H12)*MIN(12,G12/F12))</x:f>
        <x:v>511.75882352941176</x:v>
      </x:c>
      <x:c r="Z12" s="17" t="n">
        <x:f>E12*(13-(1-H12)*MIN(13,G12/F12))</x:f>
        <x:v>555.7588235294118</x:v>
      </x:c>
      <x:c r="AA12" s="17" t="n">
        <x:f>E12*(14-(1-H12)*MIN(14,G12/F12))</x:f>
        <x:v>599.7588235294118</x:v>
      </x:c>
      <x:c r="AB12" s="17" t="n">
        <x:f>E12*(15-(1-H12)*MIN(15,G12/F12))</x:f>
        <x:v>643.7588235294118</x:v>
      </x:c>
      <x:c r="AC12" s="17" t="n">
        <x:f>E12*(16-(1-H12)*MIN(16,G12/F12))</x:f>
        <x:v>687.7588235294118</x:v>
      </x:c>
      <x:c r="AD12" s="17" t="n">
        <x:f>E12*(17-(1-H12)*MIN(17,G12/F12))</x:f>
        <x:v>731.7588235294119</x:v>
      </x:c>
      <x:c r="AE12" s="17" t="n">
        <x:f>E12*(18-(1-H12)*MIN(18,G12/F12))</x:f>
        <x:v>775.7588235294119</x:v>
      </x:c>
      <x:c r="AF12" s="17" t="n">
        <x:f>E12*(19-(1-H12)*MIN(19,G12/F12))</x:f>
        <x:v>819.7588235294119</x:v>
      </x:c>
      <x:c r="AG12" s="17" t="n">
        <x:f>E12*(20-(1-H12)*MIN(20,G12/F12))</x:f>
        <x:v>863.7588235294119</x:v>
      </x:c>
    </x:row>
    <x:row r="13" ht="23" customHeight="1">
      <x:c r="A13" s="2" t="str">
        <x:v>BREN 3 标准型</x:v>
      </x:c>
      <x:c r="B13" s="2" t="n">
        <x:v>80</x:v>
      </x:c>
      <x:c r="C13" s="2" t="str">
        <x:v>胸</x:v>
      </x:c>
      <x:c r="D13" s="16" t="n">
        <x:f>IF(B13&lt;='参数'!G5,1,IF(B13&lt;=60,0.75,0.55))</x:f>
        <x:v>0.55</x:v>
      </x:c>
      <x:c r="E13" s="16" t="n">
        <x:f>'参数'!B5*D13</x:f>
        <x:v>17.6</x:v>
      </x:c>
      <x:c r="F13" s="16" t="n">
        <x:f>'参数'!D5*IF('参数'!$B$28=1,D13,1)</x:f>
        <x:v>34</x:v>
      </x:c>
      <x:c r="G13" s="16" t="n">
        <x:f>'参数'!$B$25</x:f>
        <x:v>110</x:v>
      </x:c>
      <x:c r="H13" s="16" t="n">
        <x:f>'参数'!$B$27</x:f>
        <x:v>0.648</x:v>
      </x:c>
      <x:c r="I13" s="16" t="n">
        <x:f>'参数'!$B$23</x:f>
        <x:v>100</x:v>
      </x:c>
      <x:c r="J13" s="2" t="n">
        <x:f>IF(AG13&lt;I13,"n.a.",COUNTIFS(N13:AG13,"&lt;"&amp;I13)+1)</x:f>
        <x:v>7</x:v>
      </x:c>
      <x:c r="K13" s="17" t="n">
        <x:f>IF(J13="n.a.","n.a.",(J13-1)*60000/'参数'!E5)</x:f>
        <x:v>500</x:v>
      </x:c>
      <x:c r="L13" s="17" t="n">
        <x:f>IF(J13="n.a.","n.a.",'参数'!J5+B13/'参数'!H5*1000+(J13/'参数'!$B$29-1)*60000/'参数'!E5)</x:f>
        <x:v>1502.9223744292237</x:v>
      </x:c>
      <x:c r="M13" s="17" t="n">
        <x:f>IF(J13="n.a.","n.a.",'参数'!F5*'参数'!$B$29/J13)</x:f>
        <x:v>2.142857142857143</x:v>
      </x:c>
      <x:c r="N13" s="17" t="n">
        <x:f>E13*(1-(1-H13)*MIN(1,G13/F13))</x:f>
        <x:v>11.404800000000002</x:v>
      </x:c>
      <x:c r="O13" s="17" t="n">
        <x:f>E13*(2-(1-H13)*MIN(2,G13/F13))</x:f>
        <x:v>22.809600000000003</x:v>
      </x:c>
      <x:c r="P13" s="17" t="n">
        <x:f>E13*(3-(1-H13)*MIN(3,G13/F13))</x:f>
        <x:v>34.214400000000005</x:v>
      </x:c>
      <x:c r="Q13" s="17" t="n">
        <x:f>E13*(4-(1-H13)*MIN(4,G13/F13))</x:f>
        <x:v>50.35670588235295</x:v>
      </x:c>
      <x:c r="R13" s="17" t="n">
        <x:f>E13*(5-(1-H13)*MIN(5,G13/F13))</x:f>
        <x:v>67.95670588235295</x:v>
      </x:c>
      <x:c r="S13" s="17" t="n">
        <x:f>E13*(6-(1-H13)*MIN(6,G13/F13))</x:f>
        <x:v>85.55670588235294</x:v>
      </x:c>
      <x:c r="T13" s="17" t="n">
        <x:f>E13*(7-(1-H13)*MIN(7,G13/F13))</x:f>
        <x:v>103.15670588235295</x:v>
      </x:c>
      <x:c r="U13" s="17" t="n">
        <x:f>E13*(8-(1-H13)*MIN(8,G13/F13))</x:f>
        <x:v>120.75670588235295</x:v>
      </x:c>
      <x:c r="V13" s="17" t="n">
        <x:f>E13*(9-(1-H13)*MIN(9,G13/F13))</x:f>
        <x:v>138.35670588235294</x:v>
      </x:c>
      <x:c r="W13" s="17" t="n">
        <x:f>E13*(10-(1-H13)*MIN(10,G13/F13))</x:f>
        <x:v>155.95670588235296</x:v>
      </x:c>
      <x:c r="X13" s="17" t="n">
        <x:f>E13*(11-(1-H13)*MIN(11,G13/F13))</x:f>
        <x:v>173.55670588235296</x:v>
      </x:c>
      <x:c r="Y13" s="17" t="n">
        <x:f>E13*(12-(1-H13)*MIN(12,G13/F13))</x:f>
        <x:v>191.15670588235295</x:v>
      </x:c>
      <x:c r="Z13" s="17" t="n">
        <x:f>E13*(13-(1-H13)*MIN(13,G13/F13))</x:f>
        <x:v>208.75670588235295</x:v>
      </x:c>
      <x:c r="AA13" s="17" t="n">
        <x:f>E13*(14-(1-H13)*MIN(14,G13/F13))</x:f>
        <x:v>226.35670588235297</x:v>
      </x:c>
      <x:c r="AB13" s="17" t="n">
        <x:f>E13*(15-(1-H13)*MIN(15,G13/F13))</x:f>
        <x:v>243.95670588235296</x:v>
      </x:c>
      <x:c r="AC13" s="17" t="n">
        <x:f>E13*(16-(1-H13)*MIN(16,G13/F13))</x:f>
        <x:v>261.55670588235296</x:v>
      </x:c>
      <x:c r="AD13" s="17" t="n">
        <x:f>E13*(17-(1-H13)*MIN(17,G13/F13))</x:f>
        <x:v>279.156705882353</x:v>
      </x:c>
      <x:c r="AE13" s="17" t="n">
        <x:f>E13*(18-(1-H13)*MIN(18,G13/F13))</x:f>
        <x:v>296.75670588235295</x:v>
      </x:c>
      <x:c r="AF13" s="17" t="n">
        <x:f>E13*(19-(1-H13)*MIN(19,G13/F13))</x:f>
        <x:v>314.3567058823529</x:v>
      </x:c>
      <x:c r="AG13" s="17" t="n">
        <x:f>E13*(20-(1-H13)*MIN(20,G13/F13))</x:f>
        <x:v>331.95670588235294</x:v>
      </x:c>
    </x:row>
    <x:row r="14" ht="23" customHeight="1">
      <x:c r="A14" s="2" t="str">
        <x:v>BREN 3 机动型</x:v>
      </x:c>
      <x:c r="B14" s="2" t="n">
        <x:v>15</x:v>
      </x:c>
      <x:c r="C14" s="2" t="str">
        <x:v>头</x:v>
      </x:c>
      <x:c r="D14" s="16" t="n">
        <x:f>IF(B14&lt;='参数'!G6,1,IF(B14&lt;=60,0.75,0.55))</x:f>
        <x:v>1</x:v>
      </x:c>
      <x:c r="E14" s="16" t="n">
        <x:f>'参数'!C6*D14</x:f>
        <x:v>80</x:v>
      </x:c>
      <x:c r="F14" s="16" t="n">
        <x:f>'参数'!D6*IF('参数'!$B$28=1,D14,1)</x:f>
        <x:v>34</x:v>
      </x:c>
      <x:c r="G14" s="16" t="n">
        <x:f>'参数'!$B$24</x:f>
        <x:v>50</x:v>
      </x:c>
      <x:c r="H14" s="16" t="n">
        <x:f>'参数'!$B$26</x:f>
        <x:v>0.749</x:v>
      </x:c>
      <x:c r="I14" s="16" t="n">
        <x:f>'参数'!$B$23</x:f>
        <x:v>100</x:v>
      </x:c>
      <x:c r="J14" s="2" t="n">
        <x:f>IF(AG14&lt;I14,"n.a.",COUNTIFS(N14:AG14,"&lt;"&amp;I14)+1)</x:f>
        <x:v>2</x:v>
      </x:c>
      <x:c r="K14" s="17" t="n">
        <x:f>IF(J14="n.a.","n.a.",(J14-1)*60000/'参数'!E6)</x:f>
        <x:v>83.33333333333333</x:v>
      </x:c>
      <x:c r="L14" s="17" t="n">
        <x:f>IF(J14="n.a.","n.a.",'参数'!J6+B14/'参数'!H6*1000+(J14/'参数'!$B$29-1)*60000/'参数'!E6)</x:f>
        <x:v>552.3880597014925</x:v>
      </x:c>
      <x:c r="M14" s="17" t="n">
        <x:f>IF(J14="n.a.","n.a.",'参数'!F6*'参数'!$B$29/J14)</x:f>
        <x:v>7.5</x:v>
      </x:c>
      <x:c r="N14" s="17" t="n">
        <x:f>E14*(1-(1-H14)*MIN(1,G14/F14))</x:f>
        <x:v>59.92</x:v>
      </x:c>
      <x:c r="O14" s="17" t="n">
        <x:f>E14*(2-(1-H14)*MIN(2,G14/F14))</x:f>
        <x:v>130.47058823529412</x:v>
      </x:c>
      <x:c r="P14" s="17" t="n">
        <x:f>E14*(3-(1-H14)*MIN(3,G14/F14))</x:f>
        <x:v>210.47058823529412</x:v>
      </x:c>
      <x:c r="Q14" s="17" t="n">
        <x:f>E14*(4-(1-H14)*MIN(4,G14/F14))</x:f>
        <x:v>290.47058823529414</x:v>
      </x:c>
      <x:c r="R14" s="17" t="n">
        <x:f>E14*(5-(1-H14)*MIN(5,G14/F14))</x:f>
        <x:v>370.47058823529414</x:v>
      </x:c>
      <x:c r="S14" s="17" t="n">
        <x:f>E14*(6-(1-H14)*MIN(6,G14/F14))</x:f>
        <x:v>450.47058823529414</x:v>
      </x:c>
      <x:c r="T14" s="17" t="n">
        <x:f>E14*(7-(1-H14)*MIN(7,G14/F14))</x:f>
        <x:v>530.4705882352941</x:v>
      </x:c>
      <x:c r="U14" s="17" t="n">
        <x:f>E14*(8-(1-H14)*MIN(8,G14/F14))</x:f>
        <x:v>610.4705882352941</x:v>
      </x:c>
      <x:c r="V14" s="17" t="n">
        <x:f>E14*(9-(1-H14)*MIN(9,G14/F14))</x:f>
        <x:v>690.4705882352941</x:v>
      </x:c>
      <x:c r="W14" s="17" t="n">
        <x:f>E14*(10-(1-H14)*MIN(10,G14/F14))</x:f>
        <x:v>770.4705882352941</x:v>
      </x:c>
      <x:c r="X14" s="17" t="n">
        <x:f>E14*(11-(1-H14)*MIN(11,G14/F14))</x:f>
        <x:v>850.4705882352941</x:v>
      </x:c>
      <x:c r="Y14" s="17" t="n">
        <x:f>E14*(12-(1-H14)*MIN(12,G14/F14))</x:f>
        <x:v>930.4705882352941</x:v>
      </x:c>
      <x:c r="Z14" s="17" t="n">
        <x:f>E14*(13-(1-H14)*MIN(13,G14/F14))</x:f>
        <x:v>1010.4705882352941</x:v>
      </x:c>
      <x:c r="AA14" s="17" t="n">
        <x:f>E14*(14-(1-H14)*MIN(14,G14/F14))</x:f>
        <x:v>1090.4705882352941</x:v>
      </x:c>
      <x:c r="AB14" s="17" t="n">
        <x:f>E14*(15-(1-H14)*MIN(15,G14/F14))</x:f>
        <x:v>1170.4705882352941</x:v>
      </x:c>
      <x:c r="AC14" s="17" t="n">
        <x:f>E14*(16-(1-H14)*MIN(16,G14/F14))</x:f>
        <x:v>1250.4705882352941</x:v>
      </x:c>
      <x:c r="AD14" s="17" t="n">
        <x:f>E14*(17-(1-H14)*MIN(17,G14/F14))</x:f>
        <x:v>1330.4705882352941</x:v>
      </x:c>
      <x:c r="AE14" s="17" t="n">
        <x:f>E14*(18-(1-H14)*MIN(18,G14/F14))</x:f>
        <x:v>1410.4705882352941</x:v>
      </x:c>
      <x:c r="AF14" s="17" t="n">
        <x:f>E14*(19-(1-H14)*MIN(19,G14/F14))</x:f>
        <x:v>1490.4705882352941</x:v>
      </x:c>
      <x:c r="AG14" s="17" t="n">
        <x:f>E14*(20-(1-H14)*MIN(20,G14/F14))</x:f>
        <x:v>1570.4705882352941</x:v>
      </x:c>
    </x:row>
    <x:row r="15" ht="23" customHeight="1">
      <x:c r="A15" s="2" t="str">
        <x:v>BREN 3 机动型</x:v>
      </x:c>
      <x:c r="B15" s="2" t="n">
        <x:v>15</x:v>
      </x:c>
      <x:c r="C15" s="2" t="str">
        <x:v>胸</x:v>
      </x:c>
      <x:c r="D15" s="16" t="n">
        <x:f>IF(B15&lt;='参数'!G6,1,IF(B15&lt;=60,0.75,0.55))</x:f>
        <x:v>1</x:v>
      </x:c>
      <x:c r="E15" s="16" t="n">
        <x:f>'参数'!B6*D15</x:f>
        <x:v>32</x:v>
      </x:c>
      <x:c r="F15" s="16" t="n">
        <x:f>'参数'!D6*IF('参数'!$B$28=1,D15,1)</x:f>
        <x:v>34</x:v>
      </x:c>
      <x:c r="G15" s="16" t="n">
        <x:f>'参数'!$B$25</x:f>
        <x:v>110</x:v>
      </x:c>
      <x:c r="H15" s="16" t="n">
        <x:f>'参数'!$B$27</x:f>
        <x:v>0.648</x:v>
      </x:c>
      <x:c r="I15" s="16" t="n">
        <x:f>'参数'!$B$23</x:f>
        <x:v>100</x:v>
      </x:c>
      <x:c r="J15" s="2" t="n">
        <x:f>IF(AG15&lt;I15,"n.a.",COUNTIFS(N15:AG15,"&lt;"&amp;I15)+1)</x:f>
        <x:v>5</x:v>
      </x:c>
      <x:c r="K15" s="17" t="n">
        <x:f>IF(J15="n.a.","n.a.",(J15-1)*60000/'参数'!E6)</x:f>
        <x:v>333.3333333333333</x:v>
      </x:c>
      <x:c r="L15" s="17" t="n">
        <x:f>IF(J15="n.a.","n.a.",'参数'!J6+B15/'参数'!H6*1000+(J15/'参数'!$B$29-1)*60000/'参数'!E6)</x:f>
        <x:v>1052.3880597014925</x:v>
      </x:c>
      <x:c r="M15" s="17" t="n">
        <x:f>IF(J15="n.a.","n.a.",'参数'!F6*'参数'!$B$29/J15)</x:f>
        <x:v>3</x:v>
      </x:c>
      <x:c r="N15" s="17" t="n">
        <x:f>E15*(1-(1-H15)*MIN(1,G15/F15))</x:f>
        <x:v>20.736</x:v>
      </x:c>
      <x:c r="O15" s="17" t="n">
        <x:f>E15*(2-(1-H15)*MIN(2,G15/F15))</x:f>
        <x:v>41.472</x:v>
      </x:c>
      <x:c r="P15" s="17" t="n">
        <x:f>E15*(3-(1-H15)*MIN(3,G15/F15))</x:f>
        <x:v>62.208</x:v>
      </x:c>
      <x:c r="Q15" s="17" t="n">
        <x:f>E15*(4-(1-H15)*MIN(4,G15/F15))</x:f>
        <x:v>91.55764705882353</x:v>
      </x:c>
      <x:c r="R15" s="17" t="n">
        <x:f>E15*(5-(1-H15)*MIN(5,G15/F15))</x:f>
        <x:v>123.55764705882353</x:v>
      </x:c>
      <x:c r="S15" s="17" t="n">
        <x:f>E15*(6-(1-H15)*MIN(6,G15/F15))</x:f>
        <x:v>155.55764705882353</x:v>
      </x:c>
      <x:c r="T15" s="17" t="n">
        <x:f>E15*(7-(1-H15)*MIN(7,G15/F15))</x:f>
        <x:v>187.55764705882353</x:v>
      </x:c>
      <x:c r="U15" s="17" t="n">
        <x:f>E15*(8-(1-H15)*MIN(8,G15/F15))</x:f>
        <x:v>219.55764705882353</x:v>
      </x:c>
      <x:c r="V15" s="17" t="n">
        <x:f>E15*(9-(1-H15)*MIN(9,G15/F15))</x:f>
        <x:v>251.55764705882353</x:v>
      </x:c>
      <x:c r="W15" s="17" t="n">
        <x:f>E15*(10-(1-H15)*MIN(10,G15/F15))</x:f>
        <x:v>283.55764705882353</x:v>
      </x:c>
      <x:c r="X15" s="17" t="n">
        <x:f>E15*(11-(1-H15)*MIN(11,G15/F15))</x:f>
        <x:v>315.55764705882353</x:v>
      </x:c>
      <x:c r="Y15" s="17" t="n">
        <x:f>E15*(12-(1-H15)*MIN(12,G15/F15))</x:f>
        <x:v>347.55764705882353</x:v>
      </x:c>
      <x:c r="Z15" s="17" t="n">
        <x:f>E15*(13-(1-H15)*MIN(13,G15/F15))</x:f>
        <x:v>379.55764705882353</x:v>
      </x:c>
      <x:c r="AA15" s="17" t="n">
        <x:f>E15*(14-(1-H15)*MIN(14,G15/F15))</x:f>
        <x:v>411.55764705882353</x:v>
      </x:c>
      <x:c r="AB15" s="17" t="n">
        <x:f>E15*(15-(1-H15)*MIN(15,G15/F15))</x:f>
        <x:v>443.55764705882353</x:v>
      </x:c>
      <x:c r="AC15" s="17" t="n">
        <x:f>E15*(16-(1-H15)*MIN(16,G15/F15))</x:f>
        <x:v>475.55764705882353</x:v>
      </x:c>
      <x:c r="AD15" s="17" t="n">
        <x:f>E15*(17-(1-H15)*MIN(17,G15/F15))</x:f>
        <x:v>507.55764705882353</x:v>
      </x:c>
      <x:c r="AE15" s="17" t="n">
        <x:f>E15*(18-(1-H15)*MIN(18,G15/F15))</x:f>
        <x:v>539.5576470588235</x:v>
      </x:c>
      <x:c r="AF15" s="17" t="n">
        <x:f>E15*(19-(1-H15)*MIN(19,G15/F15))</x:f>
        <x:v>571.5576470588235</x:v>
      </x:c>
      <x:c r="AG15" s="17" t="n">
        <x:f>E15*(20-(1-H15)*MIN(20,G15/F15))</x:f>
        <x:v>603.5576470588235</x:v>
      </x:c>
    </x:row>
    <x:row r="16" ht="23" customHeight="1">
      <x:c r="A16" s="2" t="str">
        <x:v>BREN 3 机动型</x:v>
      </x:c>
      <x:c r="B16" s="2" t="n">
        <x:v>30</x:v>
      </x:c>
      <x:c r="C16" s="2" t="str">
        <x:v>头</x:v>
      </x:c>
      <x:c r="D16" s="16" t="n">
        <x:f>IF(B16&lt;='参数'!G6,1,IF(B16&lt;=60,0.75,0.55))</x:f>
        <x:v>1</x:v>
      </x:c>
      <x:c r="E16" s="16" t="n">
        <x:f>'参数'!C6*D16</x:f>
        <x:v>80</x:v>
      </x:c>
      <x:c r="F16" s="16" t="n">
        <x:f>'参数'!D6*IF('参数'!$B$28=1,D16,1)</x:f>
        <x:v>34</x:v>
      </x:c>
      <x:c r="G16" s="16" t="n">
        <x:f>'参数'!$B$24</x:f>
        <x:v>50</x:v>
      </x:c>
      <x:c r="H16" s="16" t="n">
        <x:f>'参数'!$B$26</x:f>
        <x:v>0.749</x:v>
      </x:c>
      <x:c r="I16" s="16" t="n">
        <x:f>'参数'!$B$23</x:f>
        <x:v>100</x:v>
      </x:c>
      <x:c r="J16" s="2" t="n">
        <x:f>IF(AG16&lt;I16,"n.a.",COUNTIFS(N16:AG16,"&lt;"&amp;I16)+1)</x:f>
        <x:v>2</x:v>
      </x:c>
      <x:c r="K16" s="17" t="n">
        <x:f>IF(J16="n.a.","n.a.",(J16-1)*60000/'参数'!E6)</x:f>
        <x:v>83.33333333333333</x:v>
      </x:c>
      <x:c r="L16" s="17" t="n">
        <x:f>IF(J16="n.a.","n.a.",'参数'!J6+B16/'参数'!H6*1000+(J16/'参数'!$B$29-1)*60000/'参数'!E6)</x:f>
        <x:v>574.776119402985</x:v>
      </x:c>
      <x:c r="M16" s="17" t="n">
        <x:f>IF(J16="n.a.","n.a.",'参数'!F6*'参数'!$B$29/J16)</x:f>
        <x:v>7.5</x:v>
      </x:c>
      <x:c r="N16" s="17" t="n">
        <x:f>E16*(1-(1-H16)*MIN(1,G16/F16))</x:f>
        <x:v>59.92</x:v>
      </x:c>
      <x:c r="O16" s="17" t="n">
        <x:f>E16*(2-(1-H16)*MIN(2,G16/F16))</x:f>
        <x:v>130.47058823529412</x:v>
      </x:c>
      <x:c r="P16" s="17" t="n">
        <x:f>E16*(3-(1-H16)*MIN(3,G16/F16))</x:f>
        <x:v>210.47058823529412</x:v>
      </x:c>
      <x:c r="Q16" s="17" t="n">
        <x:f>E16*(4-(1-H16)*MIN(4,G16/F16))</x:f>
        <x:v>290.47058823529414</x:v>
      </x:c>
      <x:c r="R16" s="17" t="n">
        <x:f>E16*(5-(1-H16)*MIN(5,G16/F16))</x:f>
        <x:v>370.47058823529414</x:v>
      </x:c>
      <x:c r="S16" s="17" t="n">
        <x:f>E16*(6-(1-H16)*MIN(6,G16/F16))</x:f>
        <x:v>450.47058823529414</x:v>
      </x:c>
      <x:c r="T16" s="17" t="n">
        <x:f>E16*(7-(1-H16)*MIN(7,G16/F16))</x:f>
        <x:v>530.4705882352941</x:v>
      </x:c>
      <x:c r="U16" s="17" t="n">
        <x:f>E16*(8-(1-H16)*MIN(8,G16/F16))</x:f>
        <x:v>610.4705882352941</x:v>
      </x:c>
      <x:c r="V16" s="17" t="n">
        <x:f>E16*(9-(1-H16)*MIN(9,G16/F16))</x:f>
        <x:v>690.4705882352941</x:v>
      </x:c>
      <x:c r="W16" s="17" t="n">
        <x:f>E16*(10-(1-H16)*MIN(10,G16/F16))</x:f>
        <x:v>770.4705882352941</x:v>
      </x:c>
      <x:c r="X16" s="17" t="n">
        <x:f>E16*(11-(1-H16)*MIN(11,G16/F16))</x:f>
        <x:v>850.4705882352941</x:v>
      </x:c>
      <x:c r="Y16" s="17" t="n">
        <x:f>E16*(12-(1-H16)*MIN(12,G16/F16))</x:f>
        <x:v>930.4705882352941</x:v>
      </x:c>
      <x:c r="Z16" s="17" t="n">
        <x:f>E16*(13-(1-H16)*MIN(13,G16/F16))</x:f>
        <x:v>1010.4705882352941</x:v>
      </x:c>
      <x:c r="AA16" s="17" t="n">
        <x:f>E16*(14-(1-H16)*MIN(14,G16/F16))</x:f>
        <x:v>1090.4705882352941</x:v>
      </x:c>
      <x:c r="AB16" s="17" t="n">
        <x:f>E16*(15-(1-H16)*MIN(15,G16/F16))</x:f>
        <x:v>1170.4705882352941</x:v>
      </x:c>
      <x:c r="AC16" s="17" t="n">
        <x:f>E16*(16-(1-H16)*MIN(16,G16/F16))</x:f>
        <x:v>1250.4705882352941</x:v>
      </x:c>
      <x:c r="AD16" s="17" t="n">
        <x:f>E16*(17-(1-H16)*MIN(17,G16/F16))</x:f>
        <x:v>1330.4705882352941</x:v>
      </x:c>
      <x:c r="AE16" s="17" t="n">
        <x:f>E16*(18-(1-H16)*MIN(18,G16/F16))</x:f>
        <x:v>1410.4705882352941</x:v>
      </x:c>
      <x:c r="AF16" s="17" t="n">
        <x:f>E16*(19-(1-H16)*MIN(19,G16/F16))</x:f>
        <x:v>1490.4705882352941</x:v>
      </x:c>
      <x:c r="AG16" s="17" t="n">
        <x:f>E16*(20-(1-H16)*MIN(20,G16/F16))</x:f>
        <x:v>1570.4705882352941</x:v>
      </x:c>
    </x:row>
    <x:row r="17" ht="23" customHeight="1">
      <x:c r="A17" s="2" t="str">
        <x:v>BREN 3 机动型</x:v>
      </x:c>
      <x:c r="B17" s="2" t="n">
        <x:v>30</x:v>
      </x:c>
      <x:c r="C17" s="2" t="str">
        <x:v>胸</x:v>
      </x:c>
      <x:c r="D17" s="16" t="n">
        <x:f>IF(B17&lt;='参数'!G6,1,IF(B17&lt;=60,0.75,0.55))</x:f>
        <x:v>1</x:v>
      </x:c>
      <x:c r="E17" s="16" t="n">
        <x:f>'参数'!B6*D17</x:f>
        <x:v>32</x:v>
      </x:c>
      <x:c r="F17" s="16" t="n">
        <x:f>'参数'!D6*IF('参数'!$B$28=1,D17,1)</x:f>
        <x:v>34</x:v>
      </x:c>
      <x:c r="G17" s="16" t="n">
        <x:f>'参数'!$B$25</x:f>
        <x:v>110</x:v>
      </x:c>
      <x:c r="H17" s="16" t="n">
        <x:f>'参数'!$B$27</x:f>
        <x:v>0.648</x:v>
      </x:c>
      <x:c r="I17" s="16" t="n">
        <x:f>'参数'!$B$23</x:f>
        <x:v>100</x:v>
      </x:c>
      <x:c r="J17" s="2" t="n">
        <x:f>IF(AG17&lt;I17,"n.a.",COUNTIFS(N17:AG17,"&lt;"&amp;I17)+1)</x:f>
        <x:v>5</x:v>
      </x:c>
      <x:c r="K17" s="17" t="n">
        <x:f>IF(J17="n.a.","n.a.",(J17-1)*60000/'参数'!E6)</x:f>
        <x:v>333.3333333333333</x:v>
      </x:c>
      <x:c r="L17" s="17" t="n">
        <x:f>IF(J17="n.a.","n.a.",'参数'!J6+B17/'参数'!H6*1000+(J17/'参数'!$B$29-1)*60000/'参数'!E6)</x:f>
        <x:v>1074.776119402985</x:v>
      </x:c>
      <x:c r="M17" s="17" t="n">
        <x:f>IF(J17="n.a.","n.a.",'参数'!F6*'参数'!$B$29/J17)</x:f>
        <x:v>3</x:v>
      </x:c>
      <x:c r="N17" s="17" t="n">
        <x:f>E17*(1-(1-H17)*MIN(1,G17/F17))</x:f>
        <x:v>20.736</x:v>
      </x:c>
      <x:c r="O17" s="17" t="n">
        <x:f>E17*(2-(1-H17)*MIN(2,G17/F17))</x:f>
        <x:v>41.472</x:v>
      </x:c>
      <x:c r="P17" s="17" t="n">
        <x:f>E17*(3-(1-H17)*MIN(3,G17/F17))</x:f>
        <x:v>62.208</x:v>
      </x:c>
      <x:c r="Q17" s="17" t="n">
        <x:f>E17*(4-(1-H17)*MIN(4,G17/F17))</x:f>
        <x:v>91.55764705882353</x:v>
      </x:c>
      <x:c r="R17" s="17" t="n">
        <x:f>E17*(5-(1-H17)*MIN(5,G17/F17))</x:f>
        <x:v>123.55764705882353</x:v>
      </x:c>
      <x:c r="S17" s="17" t="n">
        <x:f>E17*(6-(1-H17)*MIN(6,G17/F17))</x:f>
        <x:v>155.55764705882353</x:v>
      </x:c>
      <x:c r="T17" s="17" t="n">
        <x:f>E17*(7-(1-H17)*MIN(7,G17/F17))</x:f>
        <x:v>187.55764705882353</x:v>
      </x:c>
      <x:c r="U17" s="17" t="n">
        <x:f>E17*(8-(1-H17)*MIN(8,G17/F17))</x:f>
        <x:v>219.55764705882353</x:v>
      </x:c>
      <x:c r="V17" s="17" t="n">
        <x:f>E17*(9-(1-H17)*MIN(9,G17/F17))</x:f>
        <x:v>251.55764705882353</x:v>
      </x:c>
      <x:c r="W17" s="17" t="n">
        <x:f>E17*(10-(1-H17)*MIN(10,G17/F17))</x:f>
        <x:v>283.55764705882353</x:v>
      </x:c>
      <x:c r="X17" s="17" t="n">
        <x:f>E17*(11-(1-H17)*MIN(11,G17/F17))</x:f>
        <x:v>315.55764705882353</x:v>
      </x:c>
      <x:c r="Y17" s="17" t="n">
        <x:f>E17*(12-(1-H17)*MIN(12,G17/F17))</x:f>
        <x:v>347.55764705882353</x:v>
      </x:c>
      <x:c r="Z17" s="17" t="n">
        <x:f>E17*(13-(1-H17)*MIN(13,G17/F17))</x:f>
        <x:v>379.55764705882353</x:v>
      </x:c>
      <x:c r="AA17" s="17" t="n">
        <x:f>E17*(14-(1-H17)*MIN(14,G17/F17))</x:f>
        <x:v>411.55764705882353</x:v>
      </x:c>
      <x:c r="AB17" s="17" t="n">
        <x:f>E17*(15-(1-H17)*MIN(15,G17/F17))</x:f>
        <x:v>443.55764705882353</x:v>
      </x:c>
      <x:c r="AC17" s="17" t="n">
        <x:f>E17*(16-(1-H17)*MIN(16,G17/F17))</x:f>
        <x:v>475.55764705882353</x:v>
      </x:c>
      <x:c r="AD17" s="17" t="n">
        <x:f>E17*(17-(1-H17)*MIN(17,G17/F17))</x:f>
        <x:v>507.55764705882353</x:v>
      </x:c>
      <x:c r="AE17" s="17" t="n">
        <x:f>E17*(18-(1-H17)*MIN(18,G17/F17))</x:f>
        <x:v>539.5576470588235</x:v>
      </x:c>
      <x:c r="AF17" s="17" t="n">
        <x:f>E17*(19-(1-H17)*MIN(19,G17/F17))</x:f>
        <x:v>571.5576470588235</x:v>
      </x:c>
      <x:c r="AG17" s="17" t="n">
        <x:f>E17*(20-(1-H17)*MIN(20,G17/F17))</x:f>
        <x:v>603.5576470588235</x:v>
      </x:c>
    </x:row>
    <x:row r="18" ht="23" customHeight="1">
      <x:c r="A18" s="2" t="str">
        <x:v>BREN 3 机动型</x:v>
      </x:c>
      <x:c r="B18" s="2" t="n">
        <x:v>50</x:v>
      </x:c>
      <x:c r="C18" s="2" t="str">
        <x:v>头</x:v>
      </x:c>
      <x:c r="D18" s="16" t="n">
        <x:f>IF(B18&lt;='参数'!G6,1,IF(B18&lt;=60,0.75,0.55))</x:f>
        <x:v>0.75</x:v>
      </x:c>
      <x:c r="E18" s="16" t="n">
        <x:f>'参数'!C6*D18</x:f>
        <x:v>60</x:v>
      </x:c>
      <x:c r="F18" s="16" t="n">
        <x:f>'参数'!D6*IF('参数'!$B$28=1,D18,1)</x:f>
        <x:v>34</x:v>
      </x:c>
      <x:c r="G18" s="16" t="n">
        <x:f>'参数'!$B$24</x:f>
        <x:v>50</x:v>
      </x:c>
      <x:c r="H18" s="16" t="n">
        <x:f>'参数'!$B$26</x:f>
        <x:v>0.749</x:v>
      </x:c>
      <x:c r="I18" s="16" t="n">
        <x:f>'参数'!$B$23</x:f>
        <x:v>100</x:v>
      </x:c>
      <x:c r="J18" s="2" t="n">
        <x:f>IF(AG18&lt;I18,"n.a.",COUNTIFS(N18:AG18,"&lt;"&amp;I18)+1)</x:f>
        <x:v>3</x:v>
      </x:c>
      <x:c r="K18" s="17" t="n">
        <x:f>IF(J18="n.a.","n.a.",(J18-1)*60000/'参数'!E6)</x:f>
        <x:v>166.66666666666666</x:v>
      </x:c>
      <x:c r="L18" s="17" t="n">
        <x:f>IF(J18="n.a.","n.a.",'参数'!J6+B18/'参数'!H6*1000+(J18/'参数'!$B$29-1)*60000/'参数'!E6)</x:f>
        <x:v>771.2935323383085</x:v>
      </x:c>
      <x:c r="M18" s="17" t="n">
        <x:f>IF(J18="n.a.","n.a.",'参数'!F6*'参数'!$B$29/J18)</x:f>
        <x:v>5</x:v>
      </x:c>
      <x:c r="N18" s="17" t="n">
        <x:f>E18*(1-(1-H18)*MIN(1,G18/F18))</x:f>
        <x:v>44.94</x:v>
      </x:c>
      <x:c r="O18" s="17" t="n">
        <x:f>E18*(2-(1-H18)*MIN(2,G18/F18))</x:f>
        <x:v>97.85294117647058</x:v>
      </x:c>
      <x:c r="P18" s="17" t="n">
        <x:f>E18*(3-(1-H18)*MIN(3,G18/F18))</x:f>
        <x:v>157.85294117647058</x:v>
      </x:c>
      <x:c r="Q18" s="17" t="n">
        <x:f>E18*(4-(1-H18)*MIN(4,G18/F18))</x:f>
        <x:v>217.85294117647058</x:v>
      </x:c>
      <x:c r="R18" s="17" t="n">
        <x:f>E18*(5-(1-H18)*MIN(5,G18/F18))</x:f>
        <x:v>277.8529411764706</x:v>
      </x:c>
      <x:c r="S18" s="17" t="n">
        <x:f>E18*(6-(1-H18)*MIN(6,G18/F18))</x:f>
        <x:v>337.8529411764706</x:v>
      </x:c>
      <x:c r="T18" s="17" t="n">
        <x:f>E18*(7-(1-H18)*MIN(7,G18/F18))</x:f>
        <x:v>397.8529411764706</x:v>
      </x:c>
      <x:c r="U18" s="17" t="n">
        <x:f>E18*(8-(1-H18)*MIN(8,G18/F18))</x:f>
        <x:v>457.8529411764706</x:v>
      </x:c>
      <x:c r="V18" s="17" t="n">
        <x:f>E18*(9-(1-H18)*MIN(9,G18/F18))</x:f>
        <x:v>517.8529411764706</x:v>
      </x:c>
      <x:c r="W18" s="17" t="n">
        <x:f>E18*(10-(1-H18)*MIN(10,G18/F18))</x:f>
        <x:v>577.8529411764706</x:v>
      </x:c>
      <x:c r="X18" s="17" t="n">
        <x:f>E18*(11-(1-H18)*MIN(11,G18/F18))</x:f>
        <x:v>637.8529411764706</x:v>
      </x:c>
      <x:c r="Y18" s="17" t="n">
        <x:f>E18*(12-(1-H18)*MIN(12,G18/F18))</x:f>
        <x:v>697.8529411764706</x:v>
      </x:c>
      <x:c r="Z18" s="17" t="n">
        <x:f>E18*(13-(1-H18)*MIN(13,G18/F18))</x:f>
        <x:v>757.8529411764706</x:v>
      </x:c>
      <x:c r="AA18" s="17" t="n">
        <x:f>E18*(14-(1-H18)*MIN(14,G18/F18))</x:f>
        <x:v>817.8529411764706</x:v>
      </x:c>
      <x:c r="AB18" s="17" t="n">
        <x:f>E18*(15-(1-H18)*MIN(15,G18/F18))</x:f>
        <x:v>877.8529411764706</x:v>
      </x:c>
      <x:c r="AC18" s="17" t="n">
        <x:f>E18*(16-(1-H18)*MIN(16,G18/F18))</x:f>
        <x:v>937.8529411764706</x:v>
      </x:c>
      <x:c r="AD18" s="17" t="n">
        <x:f>E18*(17-(1-H18)*MIN(17,G18/F18))</x:f>
        <x:v>997.8529411764707</x:v>
      </x:c>
      <x:c r="AE18" s="17" t="n">
        <x:f>E18*(18-(1-H18)*MIN(18,G18/F18))</x:f>
        <x:v>1057.8529411764707</x:v>
      </x:c>
      <x:c r="AF18" s="17" t="n">
        <x:f>E18*(19-(1-H18)*MIN(19,G18/F18))</x:f>
        <x:v>1117.8529411764707</x:v>
      </x:c>
      <x:c r="AG18" s="17" t="n">
        <x:f>E18*(20-(1-H18)*MIN(20,G18/F18))</x:f>
        <x:v>1177.8529411764707</x:v>
      </x:c>
    </x:row>
    <x:row r="19" ht="23" customHeight="1">
      <x:c r="A19" s="2" t="str">
        <x:v>BREN 3 机动型</x:v>
      </x:c>
      <x:c r="B19" s="2" t="n">
        <x:v>50</x:v>
      </x:c>
      <x:c r="C19" s="2" t="str">
        <x:v>胸</x:v>
      </x:c>
      <x:c r="D19" s="16" t="n">
        <x:f>IF(B19&lt;='参数'!G6,1,IF(B19&lt;=60,0.75,0.55))</x:f>
        <x:v>0.75</x:v>
      </x:c>
      <x:c r="E19" s="16" t="n">
        <x:f>'参数'!B6*D19</x:f>
        <x:v>24</x:v>
      </x:c>
      <x:c r="F19" s="16" t="n">
        <x:f>'参数'!D6*IF('参数'!$B$28=1,D19,1)</x:f>
        <x:v>34</x:v>
      </x:c>
      <x:c r="G19" s="16" t="n">
        <x:f>'参数'!$B$25</x:f>
        <x:v>110</x:v>
      </x:c>
      <x:c r="H19" s="16" t="n">
        <x:f>'参数'!$B$27</x:f>
        <x:v>0.648</x:v>
      </x:c>
      <x:c r="I19" s="16" t="n">
        <x:f>'参数'!$B$23</x:f>
        <x:v>100</x:v>
      </x:c>
      <x:c r="J19" s="2" t="n">
        <x:f>IF(AG19&lt;I19,"n.a.",COUNTIFS(N19:AG19,"&lt;"&amp;I19)+1)</x:f>
        <x:v>6</x:v>
      </x:c>
      <x:c r="K19" s="17" t="n">
        <x:f>IF(J19="n.a.","n.a.",(J19-1)*60000/'参数'!E6)</x:f>
        <x:v>416.6666666666667</x:v>
      </x:c>
      <x:c r="L19" s="17" t="n">
        <x:f>IF(J19="n.a.","n.a.",'参数'!J6+B19/'参数'!H6*1000+(J19/'参数'!$B$29-1)*60000/'参数'!E6)</x:f>
        <x:v>1271.2935323383085</x:v>
      </x:c>
      <x:c r="M19" s="17" t="n">
        <x:f>IF(J19="n.a.","n.a.",'参数'!F6*'参数'!$B$29/J19)</x:f>
        <x:v>2.5</x:v>
      </x:c>
      <x:c r="N19" s="17" t="n">
        <x:f>E19*(1-(1-H19)*MIN(1,G19/F19))</x:f>
        <x:v>15.552</x:v>
      </x:c>
      <x:c r="O19" s="17" t="n">
        <x:f>E19*(2-(1-H19)*MIN(2,G19/F19))</x:f>
        <x:v>31.104</x:v>
      </x:c>
      <x:c r="P19" s="17" t="n">
        <x:f>E19*(3-(1-H19)*MIN(3,G19/F19))</x:f>
        <x:v>46.656</x:v>
      </x:c>
      <x:c r="Q19" s="17" t="n">
        <x:f>E19*(4-(1-H19)*MIN(4,G19/F19))</x:f>
        <x:v>68.66823529411765</x:v>
      </x:c>
      <x:c r="R19" s="17" t="n">
        <x:f>E19*(5-(1-H19)*MIN(5,G19/F19))</x:f>
        <x:v>92.66823529411765</x:v>
      </x:c>
      <x:c r="S19" s="17" t="n">
        <x:f>E19*(6-(1-H19)*MIN(6,G19/F19))</x:f>
        <x:v>116.66823529411765</x:v>
      </x:c>
      <x:c r="T19" s="17" t="n">
        <x:f>E19*(7-(1-H19)*MIN(7,G19/F19))</x:f>
        <x:v>140.66823529411766</x:v>
      </x:c>
      <x:c r="U19" s="17" t="n">
        <x:f>E19*(8-(1-H19)*MIN(8,G19/F19))</x:f>
        <x:v>164.66823529411766</x:v>
      </x:c>
      <x:c r="V19" s="17" t="n">
        <x:f>E19*(9-(1-H19)*MIN(9,G19/F19))</x:f>
        <x:v>188.66823529411766</x:v>
      </x:c>
      <x:c r="W19" s="17" t="n">
        <x:f>E19*(10-(1-H19)*MIN(10,G19/F19))</x:f>
        <x:v>212.66823529411766</x:v>
      </x:c>
      <x:c r="X19" s="17" t="n">
        <x:f>E19*(11-(1-H19)*MIN(11,G19/F19))</x:f>
        <x:v>236.66823529411766</x:v>
      </x:c>
      <x:c r="Y19" s="17" t="n">
        <x:f>E19*(12-(1-H19)*MIN(12,G19/F19))</x:f>
        <x:v>260.66823529411766</x:v>
      </x:c>
      <x:c r="Z19" s="17" t="n">
        <x:f>E19*(13-(1-H19)*MIN(13,G19/F19))</x:f>
        <x:v>284.66823529411766</x:v>
      </x:c>
      <x:c r="AA19" s="17" t="n">
        <x:f>E19*(14-(1-H19)*MIN(14,G19/F19))</x:f>
        <x:v>308.66823529411766</x:v>
      </x:c>
      <x:c r="AB19" s="17" t="n">
        <x:f>E19*(15-(1-H19)*MIN(15,G19/F19))</x:f>
        <x:v>332.66823529411766</x:v>
      </x:c>
      <x:c r="AC19" s="17" t="n">
        <x:f>E19*(16-(1-H19)*MIN(16,G19/F19))</x:f>
        <x:v>356.66823529411766</x:v>
      </x:c>
      <x:c r="AD19" s="17" t="n">
        <x:f>E19*(17-(1-H19)*MIN(17,G19/F19))</x:f>
        <x:v>380.66823529411766</x:v>
      </x:c>
      <x:c r="AE19" s="17" t="n">
        <x:f>E19*(18-(1-H19)*MIN(18,G19/F19))</x:f>
        <x:v>404.6682352941176</x:v>
      </x:c>
      <x:c r="AF19" s="17" t="n">
        <x:f>E19*(19-(1-H19)*MIN(19,G19/F19))</x:f>
        <x:v>428.6682352941176</x:v>
      </x:c>
      <x:c r="AG19" s="17" t="n">
        <x:f>E19*(20-(1-H19)*MIN(20,G19/F19))</x:f>
        <x:v>452.6682352941176</x:v>
      </x:c>
    </x:row>
    <x:row r="20" ht="23" customHeight="1">
      <x:c r="A20" s="2" t="str">
        <x:v>BREN 3 机动型</x:v>
      </x:c>
      <x:c r="B20" s="2" t="n">
        <x:v>80</x:v>
      </x:c>
      <x:c r="C20" s="2" t="str">
        <x:v>头</x:v>
      </x:c>
      <x:c r="D20" s="16" t="n">
        <x:f>IF(B20&lt;='参数'!G6,1,IF(B20&lt;=60,0.75,0.55))</x:f>
        <x:v>0.55</x:v>
      </x:c>
      <x:c r="E20" s="16" t="n">
        <x:f>'参数'!C6*D20</x:f>
        <x:v>44</x:v>
      </x:c>
      <x:c r="F20" s="16" t="n">
        <x:f>'参数'!D6*IF('参数'!$B$28=1,D20,1)</x:f>
        <x:v>34</x:v>
      </x:c>
      <x:c r="G20" s="16" t="n">
        <x:f>'参数'!$B$24</x:f>
        <x:v>50</x:v>
      </x:c>
      <x:c r="H20" s="16" t="n">
        <x:f>'参数'!$B$26</x:f>
        <x:v>0.749</x:v>
      </x:c>
      <x:c r="I20" s="16" t="n">
        <x:f>'参数'!$B$23</x:f>
        <x:v>100</x:v>
      </x:c>
      <x:c r="J20" s="2" t="n">
        <x:f>IF(AG20&lt;I20,"n.a.",COUNTIFS(N20:AG20,"&lt;"&amp;I20)+1)</x:f>
        <x:v>3</x:v>
      </x:c>
      <x:c r="K20" s="17" t="n">
        <x:f>IF(J20="n.a.","n.a.",(J20-1)*60000/'参数'!E6)</x:f>
        <x:v>166.66666666666666</x:v>
      </x:c>
      <x:c r="L20" s="17" t="n">
        <x:f>IF(J20="n.a.","n.a.",'参数'!J6+B20/'参数'!H6*1000+(J20/'参数'!$B$29-1)*60000/'参数'!E6)</x:f>
        <x:v>816.0696517412936</x:v>
      </x:c>
      <x:c r="M20" s="17" t="n">
        <x:f>IF(J20="n.a.","n.a.",'参数'!F6*'参数'!$B$29/J20)</x:f>
        <x:v>5</x:v>
      </x:c>
      <x:c r="N20" s="17" t="n">
        <x:f>E20*(1-(1-H20)*MIN(1,G20/F20))</x:f>
        <x:v>32.956</x:v>
      </x:c>
      <x:c r="O20" s="17" t="n">
        <x:f>E20*(2-(1-H20)*MIN(2,G20/F20))</x:f>
        <x:v>71.75882352941176</x:v>
      </x:c>
      <x:c r="P20" s="17" t="n">
        <x:f>E20*(3-(1-H20)*MIN(3,G20/F20))</x:f>
        <x:v>115.75882352941176</x:v>
      </x:c>
      <x:c r="Q20" s="17" t="n">
        <x:f>E20*(4-(1-H20)*MIN(4,G20/F20))</x:f>
        <x:v>159.75882352941176</x:v>
      </x:c>
      <x:c r="R20" s="17" t="n">
        <x:f>E20*(5-(1-H20)*MIN(5,G20/F20))</x:f>
        <x:v>203.75882352941176</x:v>
      </x:c>
      <x:c r="S20" s="17" t="n">
        <x:f>E20*(6-(1-H20)*MIN(6,G20/F20))</x:f>
        <x:v>247.75882352941176</x:v>
      </x:c>
      <x:c r="T20" s="17" t="n">
        <x:f>E20*(7-(1-H20)*MIN(7,G20/F20))</x:f>
        <x:v>291.75882352941176</x:v>
      </x:c>
      <x:c r="U20" s="17" t="n">
        <x:f>E20*(8-(1-H20)*MIN(8,G20/F20))</x:f>
        <x:v>335.75882352941176</x:v>
      </x:c>
      <x:c r="V20" s="17" t="n">
        <x:f>E20*(9-(1-H20)*MIN(9,G20/F20))</x:f>
        <x:v>379.75882352941176</x:v>
      </x:c>
      <x:c r="W20" s="17" t="n">
        <x:f>E20*(10-(1-H20)*MIN(10,G20/F20))</x:f>
        <x:v>423.75882352941176</x:v>
      </x:c>
      <x:c r="X20" s="17" t="n">
        <x:f>E20*(11-(1-H20)*MIN(11,G20/F20))</x:f>
        <x:v>467.75882352941176</x:v>
      </x:c>
      <x:c r="Y20" s="17" t="n">
        <x:f>E20*(12-(1-H20)*MIN(12,G20/F20))</x:f>
        <x:v>511.75882352941176</x:v>
      </x:c>
      <x:c r="Z20" s="17" t="n">
        <x:f>E20*(13-(1-H20)*MIN(13,G20/F20))</x:f>
        <x:v>555.7588235294118</x:v>
      </x:c>
      <x:c r="AA20" s="17" t="n">
        <x:f>E20*(14-(1-H20)*MIN(14,G20/F20))</x:f>
        <x:v>599.7588235294118</x:v>
      </x:c>
      <x:c r="AB20" s="17" t="n">
        <x:f>E20*(15-(1-H20)*MIN(15,G20/F20))</x:f>
        <x:v>643.7588235294118</x:v>
      </x:c>
      <x:c r="AC20" s="17" t="n">
        <x:f>E20*(16-(1-H20)*MIN(16,G20/F20))</x:f>
        <x:v>687.7588235294118</x:v>
      </x:c>
      <x:c r="AD20" s="17" t="n">
        <x:f>E20*(17-(1-H20)*MIN(17,G20/F20))</x:f>
        <x:v>731.7588235294119</x:v>
      </x:c>
      <x:c r="AE20" s="17" t="n">
        <x:f>E20*(18-(1-H20)*MIN(18,G20/F20))</x:f>
        <x:v>775.7588235294119</x:v>
      </x:c>
      <x:c r="AF20" s="17" t="n">
        <x:f>E20*(19-(1-H20)*MIN(19,G20/F20))</x:f>
        <x:v>819.7588235294119</x:v>
      </x:c>
      <x:c r="AG20" s="17" t="n">
        <x:f>E20*(20-(1-H20)*MIN(20,G20/F20))</x:f>
        <x:v>863.7588235294119</x:v>
      </x:c>
    </x:row>
    <x:row r="21" ht="23" customHeight="1">
      <x:c r="A21" s="2" t="str">
        <x:v>BREN 3 机动型</x:v>
      </x:c>
      <x:c r="B21" s="2" t="n">
        <x:v>80</x:v>
      </x:c>
      <x:c r="C21" s="2" t="str">
        <x:v>胸</x:v>
      </x:c>
      <x:c r="D21" s="16" t="n">
        <x:f>IF(B21&lt;='参数'!G6,1,IF(B21&lt;=60,0.75,0.55))</x:f>
        <x:v>0.55</x:v>
      </x:c>
      <x:c r="E21" s="16" t="n">
        <x:f>'参数'!B6*D21</x:f>
        <x:v>17.6</x:v>
      </x:c>
      <x:c r="F21" s="16" t="n">
        <x:f>'参数'!D6*IF('参数'!$B$28=1,D21,1)</x:f>
        <x:v>34</x:v>
      </x:c>
      <x:c r="G21" s="16" t="n">
        <x:f>'参数'!$B$25</x:f>
        <x:v>110</x:v>
      </x:c>
      <x:c r="H21" s="16" t="n">
        <x:f>'参数'!$B$27</x:f>
        <x:v>0.648</x:v>
      </x:c>
      <x:c r="I21" s="16" t="n">
        <x:f>'参数'!$B$23</x:f>
        <x:v>100</x:v>
      </x:c>
      <x:c r="J21" s="2" t="n">
        <x:f>IF(AG21&lt;I21,"n.a.",COUNTIFS(N21:AG21,"&lt;"&amp;I21)+1)</x:f>
        <x:v>7</x:v>
      </x:c>
      <x:c r="K21" s="17" t="n">
        <x:f>IF(J21="n.a.","n.a.",(J21-1)*60000/'参数'!E6)</x:f>
        <x:v>500</x:v>
      </x:c>
      <x:c r="L21" s="17" t="n">
        <x:f>IF(J21="n.a.","n.a.",'参数'!J6+B21/'参数'!H6*1000+(J21/'参数'!$B$29-1)*60000/'参数'!E6)</x:f>
        <x:v>1482.7363184079602</x:v>
      </x:c>
      <x:c r="M21" s="17" t="n">
        <x:f>IF(J21="n.a.","n.a.",'参数'!F6*'参数'!$B$29/J21)</x:f>
        <x:v>2.142857142857143</x:v>
      </x:c>
      <x:c r="N21" s="17" t="n">
        <x:f>E21*(1-(1-H21)*MIN(1,G21/F21))</x:f>
        <x:v>11.404800000000002</x:v>
      </x:c>
      <x:c r="O21" s="17" t="n">
        <x:f>E21*(2-(1-H21)*MIN(2,G21/F21))</x:f>
        <x:v>22.809600000000003</x:v>
      </x:c>
      <x:c r="P21" s="17" t="n">
        <x:f>E21*(3-(1-H21)*MIN(3,G21/F21))</x:f>
        <x:v>34.214400000000005</x:v>
      </x:c>
      <x:c r="Q21" s="17" t="n">
        <x:f>E21*(4-(1-H21)*MIN(4,G21/F21))</x:f>
        <x:v>50.35670588235295</x:v>
      </x:c>
      <x:c r="R21" s="17" t="n">
        <x:f>E21*(5-(1-H21)*MIN(5,G21/F21))</x:f>
        <x:v>67.95670588235295</x:v>
      </x:c>
      <x:c r="S21" s="17" t="n">
        <x:f>E21*(6-(1-H21)*MIN(6,G21/F21))</x:f>
        <x:v>85.55670588235294</x:v>
      </x:c>
      <x:c r="T21" s="17" t="n">
        <x:f>E21*(7-(1-H21)*MIN(7,G21/F21))</x:f>
        <x:v>103.15670588235295</x:v>
      </x:c>
      <x:c r="U21" s="17" t="n">
        <x:f>E21*(8-(1-H21)*MIN(8,G21/F21))</x:f>
        <x:v>120.75670588235295</x:v>
      </x:c>
      <x:c r="V21" s="17" t="n">
        <x:f>E21*(9-(1-H21)*MIN(9,G21/F21))</x:f>
        <x:v>138.35670588235294</x:v>
      </x:c>
      <x:c r="W21" s="17" t="n">
        <x:f>E21*(10-(1-H21)*MIN(10,G21/F21))</x:f>
        <x:v>155.95670588235296</x:v>
      </x:c>
      <x:c r="X21" s="17" t="n">
        <x:f>E21*(11-(1-H21)*MIN(11,G21/F21))</x:f>
        <x:v>173.55670588235296</x:v>
      </x:c>
      <x:c r="Y21" s="17" t="n">
        <x:f>E21*(12-(1-H21)*MIN(12,G21/F21))</x:f>
        <x:v>191.15670588235295</x:v>
      </x:c>
      <x:c r="Z21" s="17" t="n">
        <x:f>E21*(13-(1-H21)*MIN(13,G21/F21))</x:f>
        <x:v>208.75670588235295</x:v>
      </x:c>
      <x:c r="AA21" s="17" t="n">
        <x:f>E21*(14-(1-H21)*MIN(14,G21/F21))</x:f>
        <x:v>226.35670588235297</x:v>
      </x:c>
      <x:c r="AB21" s="17" t="n">
        <x:f>E21*(15-(1-H21)*MIN(15,G21/F21))</x:f>
        <x:v>243.95670588235296</x:v>
      </x:c>
      <x:c r="AC21" s="17" t="n">
        <x:f>E21*(16-(1-H21)*MIN(16,G21/F21))</x:f>
        <x:v>261.55670588235296</x:v>
      </x:c>
      <x:c r="AD21" s="17" t="n">
        <x:f>E21*(17-(1-H21)*MIN(17,G21/F21))</x:f>
        <x:v>279.156705882353</x:v>
      </x:c>
      <x:c r="AE21" s="17" t="n">
        <x:f>E21*(18-(1-H21)*MIN(18,G21/F21))</x:f>
        <x:v>296.75670588235295</x:v>
      </x:c>
      <x:c r="AF21" s="17" t="n">
        <x:f>E21*(19-(1-H21)*MIN(19,G21/F21))</x:f>
        <x:v>314.3567058823529</x:v>
      </x:c>
      <x:c r="AG21" s="17" t="n">
        <x:f>E21*(20-(1-H21)*MIN(20,G21/F21))</x:f>
        <x:v>331.95670588235294</x:v>
      </x:c>
    </x:row>
    <x:row r="22" ht="23" customHeight="1">
      <x:c r="A22" s="2" t="str">
        <x:v>BREN 3 支援型</x:v>
      </x:c>
      <x:c r="B22" s="2" t="n">
        <x:v>15</x:v>
      </x:c>
      <x:c r="C22" s="2" t="str">
        <x:v>头</x:v>
      </x:c>
      <x:c r="D22" s="16" t="n">
        <x:f>IF(B22&lt;='参数'!G7,1,IF(B22&lt;=60,0.75,0.55))</x:f>
        <x:v>1</x:v>
      </x:c>
      <x:c r="E22" s="16" t="n">
        <x:f>'参数'!C7*D22</x:f>
        <x:v>80</x:v>
      </x:c>
      <x:c r="F22" s="16" t="n">
        <x:f>'参数'!D7*IF('参数'!$B$28=1,D22,1)</x:f>
        <x:v>34</x:v>
      </x:c>
      <x:c r="G22" s="16" t="n">
        <x:f>'参数'!$B$24</x:f>
        <x:v>50</x:v>
      </x:c>
      <x:c r="H22" s="16" t="n">
        <x:f>'参数'!$B$26</x:f>
        <x:v>0.749</x:v>
      </x:c>
      <x:c r="I22" s="16" t="n">
        <x:f>'参数'!$B$23</x:f>
        <x:v>100</x:v>
      </x:c>
      <x:c r="J22" s="2" t="n">
        <x:f>IF(AG22&lt;I22,"n.a.",COUNTIFS(N22:AG22,"&lt;"&amp;I22)+1)</x:f>
        <x:v>2</x:v>
      </x:c>
      <x:c r="K22" s="17" t="n">
        <x:f>IF(J22="n.a.","n.a.",(J22-1)*60000/'参数'!E7)</x:f>
        <x:v>83.33333333333333</x:v>
      </x:c>
      <x:c r="L22" s="17" t="n">
        <x:f>IF(J22="n.a.","n.a.",'参数'!J7+B22/'参数'!H7*1000+(J22/'参数'!$B$29-1)*60000/'参数'!E7)</x:f>
        <x:v>618.2926829268292</x:v>
      </x:c>
      <x:c r="M22" s="17" t="n">
        <x:f>IF(J22="n.a.","n.a.",'参数'!F7*'参数'!$B$29/J22)</x:f>
        <x:v>10</x:v>
      </x:c>
      <x:c r="N22" s="17" t="n">
        <x:f>E22*(1-(1-H22)*MIN(1,G22/F22))</x:f>
        <x:v>59.92</x:v>
      </x:c>
      <x:c r="O22" s="17" t="n">
        <x:f>E22*(2-(1-H22)*MIN(2,G22/F22))</x:f>
        <x:v>130.47058823529412</x:v>
      </x:c>
      <x:c r="P22" s="17" t="n">
        <x:f>E22*(3-(1-H22)*MIN(3,G22/F22))</x:f>
        <x:v>210.47058823529412</x:v>
      </x:c>
      <x:c r="Q22" s="17" t="n">
        <x:f>E22*(4-(1-H22)*MIN(4,G22/F22))</x:f>
        <x:v>290.47058823529414</x:v>
      </x:c>
      <x:c r="R22" s="17" t="n">
        <x:f>E22*(5-(1-H22)*MIN(5,G22/F22))</x:f>
        <x:v>370.47058823529414</x:v>
      </x:c>
      <x:c r="S22" s="17" t="n">
        <x:f>E22*(6-(1-H22)*MIN(6,G22/F22))</x:f>
        <x:v>450.47058823529414</x:v>
      </x:c>
      <x:c r="T22" s="17" t="n">
        <x:f>E22*(7-(1-H22)*MIN(7,G22/F22))</x:f>
        <x:v>530.4705882352941</x:v>
      </x:c>
      <x:c r="U22" s="17" t="n">
        <x:f>E22*(8-(1-H22)*MIN(8,G22/F22))</x:f>
        <x:v>610.4705882352941</x:v>
      </x:c>
      <x:c r="V22" s="17" t="n">
        <x:f>E22*(9-(1-H22)*MIN(9,G22/F22))</x:f>
        <x:v>690.4705882352941</x:v>
      </x:c>
      <x:c r="W22" s="17" t="n">
        <x:f>E22*(10-(1-H22)*MIN(10,G22/F22))</x:f>
        <x:v>770.4705882352941</x:v>
      </x:c>
      <x:c r="X22" s="17" t="n">
        <x:f>E22*(11-(1-H22)*MIN(11,G22/F22))</x:f>
        <x:v>850.4705882352941</x:v>
      </x:c>
      <x:c r="Y22" s="17" t="n">
        <x:f>E22*(12-(1-H22)*MIN(12,G22/F22))</x:f>
        <x:v>930.4705882352941</x:v>
      </x:c>
      <x:c r="Z22" s="17" t="n">
        <x:f>E22*(13-(1-H22)*MIN(13,G22/F22))</x:f>
        <x:v>1010.4705882352941</x:v>
      </x:c>
      <x:c r="AA22" s="17" t="n">
        <x:f>E22*(14-(1-H22)*MIN(14,G22/F22))</x:f>
        <x:v>1090.4705882352941</x:v>
      </x:c>
      <x:c r="AB22" s="17" t="n">
        <x:f>E22*(15-(1-H22)*MIN(15,G22/F22))</x:f>
        <x:v>1170.4705882352941</x:v>
      </x:c>
      <x:c r="AC22" s="17" t="n">
        <x:f>E22*(16-(1-H22)*MIN(16,G22/F22))</x:f>
        <x:v>1250.4705882352941</x:v>
      </x:c>
      <x:c r="AD22" s="17" t="n">
        <x:f>E22*(17-(1-H22)*MIN(17,G22/F22))</x:f>
        <x:v>1330.4705882352941</x:v>
      </x:c>
      <x:c r="AE22" s="17" t="n">
        <x:f>E22*(18-(1-H22)*MIN(18,G22/F22))</x:f>
        <x:v>1410.4705882352941</x:v>
      </x:c>
      <x:c r="AF22" s="17" t="n">
        <x:f>E22*(19-(1-H22)*MIN(19,G22/F22))</x:f>
        <x:v>1490.4705882352941</x:v>
      </x:c>
      <x:c r="AG22" s="17" t="n">
        <x:f>E22*(20-(1-H22)*MIN(20,G22/F22))</x:f>
        <x:v>1570.4705882352941</x:v>
      </x:c>
    </x:row>
    <x:row r="23" ht="23" customHeight="1">
      <x:c r="A23" s="2" t="str">
        <x:v>BREN 3 支援型</x:v>
      </x:c>
      <x:c r="B23" s="2" t="n">
        <x:v>15</x:v>
      </x:c>
      <x:c r="C23" s="2" t="str">
        <x:v>胸</x:v>
      </x:c>
      <x:c r="D23" s="16" t="n">
        <x:f>IF(B23&lt;='参数'!G7,1,IF(B23&lt;=60,0.75,0.55))</x:f>
        <x:v>1</x:v>
      </x:c>
      <x:c r="E23" s="16" t="n">
        <x:f>'参数'!B7*D23</x:f>
        <x:v>32</x:v>
      </x:c>
      <x:c r="F23" s="16" t="n">
        <x:f>'参数'!D7*IF('参数'!$B$28=1,D23,1)</x:f>
        <x:v>34</x:v>
      </x:c>
      <x:c r="G23" s="16" t="n">
        <x:f>'参数'!$B$25</x:f>
        <x:v>110</x:v>
      </x:c>
      <x:c r="H23" s="16" t="n">
        <x:f>'参数'!$B$27</x:f>
        <x:v>0.648</x:v>
      </x:c>
      <x:c r="I23" s="16" t="n">
        <x:f>'参数'!$B$23</x:f>
        <x:v>100</x:v>
      </x:c>
      <x:c r="J23" s="2" t="n">
        <x:f>IF(AG23&lt;I23,"n.a.",COUNTIFS(N23:AG23,"&lt;"&amp;I23)+1)</x:f>
        <x:v>5</x:v>
      </x:c>
      <x:c r="K23" s="17" t="n">
        <x:f>IF(J23="n.a.","n.a.",(J23-1)*60000/'参数'!E7)</x:f>
        <x:v>333.3333333333333</x:v>
      </x:c>
      <x:c r="L23" s="17" t="n">
        <x:f>IF(J23="n.a.","n.a.",'参数'!J7+B23/'参数'!H7*1000+(J23/'参数'!$B$29-1)*60000/'参数'!E7)</x:f>
        <x:v>1118.2926829268292</x:v>
      </x:c>
      <x:c r="M23" s="17" t="n">
        <x:f>IF(J23="n.a.","n.a.",'参数'!F7*'参数'!$B$29/J23)</x:f>
        <x:v>4</x:v>
      </x:c>
      <x:c r="N23" s="17" t="n">
        <x:f>E23*(1-(1-H23)*MIN(1,G23/F23))</x:f>
        <x:v>20.736</x:v>
      </x:c>
      <x:c r="O23" s="17" t="n">
        <x:f>E23*(2-(1-H23)*MIN(2,G23/F23))</x:f>
        <x:v>41.472</x:v>
      </x:c>
      <x:c r="P23" s="17" t="n">
        <x:f>E23*(3-(1-H23)*MIN(3,G23/F23))</x:f>
        <x:v>62.208</x:v>
      </x:c>
      <x:c r="Q23" s="17" t="n">
        <x:f>E23*(4-(1-H23)*MIN(4,G23/F23))</x:f>
        <x:v>91.55764705882353</x:v>
      </x:c>
      <x:c r="R23" s="17" t="n">
        <x:f>E23*(5-(1-H23)*MIN(5,G23/F23))</x:f>
        <x:v>123.55764705882353</x:v>
      </x:c>
      <x:c r="S23" s="17" t="n">
        <x:f>E23*(6-(1-H23)*MIN(6,G23/F23))</x:f>
        <x:v>155.55764705882353</x:v>
      </x:c>
      <x:c r="T23" s="17" t="n">
        <x:f>E23*(7-(1-H23)*MIN(7,G23/F23))</x:f>
        <x:v>187.55764705882353</x:v>
      </x:c>
      <x:c r="U23" s="17" t="n">
        <x:f>E23*(8-(1-H23)*MIN(8,G23/F23))</x:f>
        <x:v>219.55764705882353</x:v>
      </x:c>
      <x:c r="V23" s="17" t="n">
        <x:f>E23*(9-(1-H23)*MIN(9,G23/F23))</x:f>
        <x:v>251.55764705882353</x:v>
      </x:c>
      <x:c r="W23" s="17" t="n">
        <x:f>E23*(10-(1-H23)*MIN(10,G23/F23))</x:f>
        <x:v>283.55764705882353</x:v>
      </x:c>
      <x:c r="X23" s="17" t="n">
        <x:f>E23*(11-(1-H23)*MIN(11,G23/F23))</x:f>
        <x:v>315.55764705882353</x:v>
      </x:c>
      <x:c r="Y23" s="17" t="n">
        <x:f>E23*(12-(1-H23)*MIN(12,G23/F23))</x:f>
        <x:v>347.55764705882353</x:v>
      </x:c>
      <x:c r="Z23" s="17" t="n">
        <x:f>E23*(13-(1-H23)*MIN(13,G23/F23))</x:f>
        <x:v>379.55764705882353</x:v>
      </x:c>
      <x:c r="AA23" s="17" t="n">
        <x:f>E23*(14-(1-H23)*MIN(14,G23/F23))</x:f>
        <x:v>411.55764705882353</x:v>
      </x:c>
      <x:c r="AB23" s="17" t="n">
        <x:f>E23*(15-(1-H23)*MIN(15,G23/F23))</x:f>
        <x:v>443.55764705882353</x:v>
      </x:c>
      <x:c r="AC23" s="17" t="n">
        <x:f>E23*(16-(1-H23)*MIN(16,G23/F23))</x:f>
        <x:v>475.55764705882353</x:v>
      </x:c>
      <x:c r="AD23" s="17" t="n">
        <x:f>E23*(17-(1-H23)*MIN(17,G23/F23))</x:f>
        <x:v>507.55764705882353</x:v>
      </x:c>
      <x:c r="AE23" s="17" t="n">
        <x:f>E23*(18-(1-H23)*MIN(18,G23/F23))</x:f>
        <x:v>539.5576470588235</x:v>
      </x:c>
      <x:c r="AF23" s="17" t="n">
        <x:f>E23*(19-(1-H23)*MIN(19,G23/F23))</x:f>
        <x:v>571.5576470588235</x:v>
      </x:c>
      <x:c r="AG23" s="17" t="n">
        <x:f>E23*(20-(1-H23)*MIN(20,G23/F23))</x:f>
        <x:v>603.5576470588235</x:v>
      </x:c>
    </x:row>
    <x:row r="24" ht="23" customHeight="1">
      <x:c r="A24" s="2" t="str">
        <x:v>BREN 3 支援型</x:v>
      </x:c>
      <x:c r="B24" s="2" t="n">
        <x:v>30</x:v>
      </x:c>
      <x:c r="C24" s="2" t="str">
        <x:v>头</x:v>
      </x:c>
      <x:c r="D24" s="16" t="n">
        <x:f>IF(B24&lt;='参数'!G7,1,IF(B24&lt;=60,0.75,0.55))</x:f>
        <x:v>1</x:v>
      </x:c>
      <x:c r="E24" s="16" t="n">
        <x:f>'参数'!C7*D24</x:f>
        <x:v>80</x:v>
      </x:c>
      <x:c r="F24" s="16" t="n">
        <x:f>'参数'!D7*IF('参数'!$B$28=1,D24,1)</x:f>
        <x:v>34</x:v>
      </x:c>
      <x:c r="G24" s="16" t="n">
        <x:f>'参数'!$B$24</x:f>
        <x:v>50</x:v>
      </x:c>
      <x:c r="H24" s="16" t="n">
        <x:f>'参数'!$B$26</x:f>
        <x:v>0.749</x:v>
      </x:c>
      <x:c r="I24" s="16" t="n">
        <x:f>'参数'!$B$23</x:f>
        <x:v>100</x:v>
      </x:c>
      <x:c r="J24" s="2" t="n">
        <x:f>IF(AG24&lt;I24,"n.a.",COUNTIFS(N24:AG24,"&lt;"&amp;I24)+1)</x:f>
        <x:v>2</x:v>
      </x:c>
      <x:c r="K24" s="17" t="n">
        <x:f>IF(J24="n.a.","n.a.",(J24-1)*60000/'参数'!E7)</x:f>
        <x:v>83.33333333333333</x:v>
      </x:c>
      <x:c r="L24" s="17" t="n">
        <x:f>IF(J24="n.a.","n.a.",'参数'!J7+B24/'参数'!H7*1000+(J24/'参数'!$B$29-1)*60000/'参数'!E7)</x:f>
        <x:v>636.5853658536585</x:v>
      </x:c>
      <x:c r="M24" s="17" t="n">
        <x:f>IF(J24="n.a.","n.a.",'参数'!F7*'参数'!$B$29/J24)</x:f>
        <x:v>10</x:v>
      </x:c>
      <x:c r="N24" s="17" t="n">
        <x:f>E24*(1-(1-H24)*MIN(1,G24/F24))</x:f>
        <x:v>59.92</x:v>
      </x:c>
      <x:c r="O24" s="17" t="n">
        <x:f>E24*(2-(1-H24)*MIN(2,G24/F24))</x:f>
        <x:v>130.47058823529412</x:v>
      </x:c>
      <x:c r="P24" s="17" t="n">
        <x:f>E24*(3-(1-H24)*MIN(3,G24/F24))</x:f>
        <x:v>210.47058823529412</x:v>
      </x:c>
      <x:c r="Q24" s="17" t="n">
        <x:f>E24*(4-(1-H24)*MIN(4,G24/F24))</x:f>
        <x:v>290.47058823529414</x:v>
      </x:c>
      <x:c r="R24" s="17" t="n">
        <x:f>E24*(5-(1-H24)*MIN(5,G24/F24))</x:f>
        <x:v>370.47058823529414</x:v>
      </x:c>
      <x:c r="S24" s="17" t="n">
        <x:f>E24*(6-(1-H24)*MIN(6,G24/F24))</x:f>
        <x:v>450.47058823529414</x:v>
      </x:c>
      <x:c r="T24" s="17" t="n">
        <x:f>E24*(7-(1-H24)*MIN(7,G24/F24))</x:f>
        <x:v>530.4705882352941</x:v>
      </x:c>
      <x:c r="U24" s="17" t="n">
        <x:f>E24*(8-(1-H24)*MIN(8,G24/F24))</x:f>
        <x:v>610.4705882352941</x:v>
      </x:c>
      <x:c r="V24" s="17" t="n">
        <x:f>E24*(9-(1-H24)*MIN(9,G24/F24))</x:f>
        <x:v>690.4705882352941</x:v>
      </x:c>
      <x:c r="W24" s="17" t="n">
        <x:f>E24*(10-(1-H24)*MIN(10,G24/F24))</x:f>
        <x:v>770.4705882352941</x:v>
      </x:c>
      <x:c r="X24" s="17" t="n">
        <x:f>E24*(11-(1-H24)*MIN(11,G24/F24))</x:f>
        <x:v>850.4705882352941</x:v>
      </x:c>
      <x:c r="Y24" s="17" t="n">
        <x:f>E24*(12-(1-H24)*MIN(12,G24/F24))</x:f>
        <x:v>930.4705882352941</x:v>
      </x:c>
      <x:c r="Z24" s="17" t="n">
        <x:f>E24*(13-(1-H24)*MIN(13,G24/F24))</x:f>
        <x:v>1010.4705882352941</x:v>
      </x:c>
      <x:c r="AA24" s="17" t="n">
        <x:f>E24*(14-(1-H24)*MIN(14,G24/F24))</x:f>
        <x:v>1090.4705882352941</x:v>
      </x:c>
      <x:c r="AB24" s="17" t="n">
        <x:f>E24*(15-(1-H24)*MIN(15,G24/F24))</x:f>
        <x:v>1170.4705882352941</x:v>
      </x:c>
      <x:c r="AC24" s="17" t="n">
        <x:f>E24*(16-(1-H24)*MIN(16,G24/F24))</x:f>
        <x:v>1250.4705882352941</x:v>
      </x:c>
      <x:c r="AD24" s="17" t="n">
        <x:f>E24*(17-(1-H24)*MIN(17,G24/F24))</x:f>
        <x:v>1330.4705882352941</x:v>
      </x:c>
      <x:c r="AE24" s="17" t="n">
        <x:f>E24*(18-(1-H24)*MIN(18,G24/F24))</x:f>
        <x:v>1410.4705882352941</x:v>
      </x:c>
      <x:c r="AF24" s="17" t="n">
        <x:f>E24*(19-(1-H24)*MIN(19,G24/F24))</x:f>
        <x:v>1490.4705882352941</x:v>
      </x:c>
      <x:c r="AG24" s="17" t="n">
        <x:f>E24*(20-(1-H24)*MIN(20,G24/F24))</x:f>
        <x:v>1570.4705882352941</x:v>
      </x:c>
    </x:row>
    <x:row r="25" ht="23" customHeight="1">
      <x:c r="A25" s="2" t="str">
        <x:v>BREN 3 支援型</x:v>
      </x:c>
      <x:c r="B25" s="2" t="n">
        <x:v>30</x:v>
      </x:c>
      <x:c r="C25" s="2" t="str">
        <x:v>胸</x:v>
      </x:c>
      <x:c r="D25" s="16" t="n">
        <x:f>IF(B25&lt;='参数'!G7,1,IF(B25&lt;=60,0.75,0.55))</x:f>
        <x:v>1</x:v>
      </x:c>
      <x:c r="E25" s="16" t="n">
        <x:f>'参数'!B7*D25</x:f>
        <x:v>32</x:v>
      </x:c>
      <x:c r="F25" s="16" t="n">
        <x:f>'参数'!D7*IF('参数'!$B$28=1,D25,1)</x:f>
        <x:v>34</x:v>
      </x:c>
      <x:c r="G25" s="16" t="n">
        <x:f>'参数'!$B$25</x:f>
        <x:v>110</x:v>
      </x:c>
      <x:c r="H25" s="16" t="n">
        <x:f>'参数'!$B$27</x:f>
        <x:v>0.648</x:v>
      </x:c>
      <x:c r="I25" s="16" t="n">
        <x:f>'参数'!$B$23</x:f>
        <x:v>100</x:v>
      </x:c>
      <x:c r="J25" s="2" t="n">
        <x:f>IF(AG25&lt;I25,"n.a.",COUNTIFS(N25:AG25,"&lt;"&amp;I25)+1)</x:f>
        <x:v>5</x:v>
      </x:c>
      <x:c r="K25" s="17" t="n">
        <x:f>IF(J25="n.a.","n.a.",(J25-1)*60000/'参数'!E7)</x:f>
        <x:v>333.3333333333333</x:v>
      </x:c>
      <x:c r="L25" s="17" t="n">
        <x:f>IF(J25="n.a.","n.a.",'参数'!J7+B25/'参数'!H7*1000+(J25/'参数'!$B$29-1)*60000/'参数'!E7)</x:f>
        <x:v>1136.5853658536585</x:v>
      </x:c>
      <x:c r="M25" s="17" t="n">
        <x:f>IF(J25="n.a.","n.a.",'参数'!F7*'参数'!$B$29/J25)</x:f>
        <x:v>4</x:v>
      </x:c>
      <x:c r="N25" s="17" t="n">
        <x:f>E25*(1-(1-H25)*MIN(1,G25/F25))</x:f>
        <x:v>20.736</x:v>
      </x:c>
      <x:c r="O25" s="17" t="n">
        <x:f>E25*(2-(1-H25)*MIN(2,G25/F25))</x:f>
        <x:v>41.472</x:v>
      </x:c>
      <x:c r="P25" s="17" t="n">
        <x:f>E25*(3-(1-H25)*MIN(3,G25/F25))</x:f>
        <x:v>62.208</x:v>
      </x:c>
      <x:c r="Q25" s="17" t="n">
        <x:f>E25*(4-(1-H25)*MIN(4,G25/F25))</x:f>
        <x:v>91.55764705882353</x:v>
      </x:c>
      <x:c r="R25" s="17" t="n">
        <x:f>E25*(5-(1-H25)*MIN(5,G25/F25))</x:f>
        <x:v>123.55764705882353</x:v>
      </x:c>
      <x:c r="S25" s="17" t="n">
        <x:f>E25*(6-(1-H25)*MIN(6,G25/F25))</x:f>
        <x:v>155.55764705882353</x:v>
      </x:c>
      <x:c r="T25" s="17" t="n">
        <x:f>E25*(7-(1-H25)*MIN(7,G25/F25))</x:f>
        <x:v>187.55764705882353</x:v>
      </x:c>
      <x:c r="U25" s="17" t="n">
        <x:f>E25*(8-(1-H25)*MIN(8,G25/F25))</x:f>
        <x:v>219.55764705882353</x:v>
      </x:c>
      <x:c r="V25" s="17" t="n">
        <x:f>E25*(9-(1-H25)*MIN(9,G25/F25))</x:f>
        <x:v>251.55764705882353</x:v>
      </x:c>
      <x:c r="W25" s="17" t="n">
        <x:f>E25*(10-(1-H25)*MIN(10,G25/F25))</x:f>
        <x:v>283.55764705882353</x:v>
      </x:c>
      <x:c r="X25" s="17" t="n">
        <x:f>E25*(11-(1-H25)*MIN(11,G25/F25))</x:f>
        <x:v>315.55764705882353</x:v>
      </x:c>
      <x:c r="Y25" s="17" t="n">
        <x:f>E25*(12-(1-H25)*MIN(12,G25/F25))</x:f>
        <x:v>347.55764705882353</x:v>
      </x:c>
      <x:c r="Z25" s="17" t="n">
        <x:f>E25*(13-(1-H25)*MIN(13,G25/F25))</x:f>
        <x:v>379.55764705882353</x:v>
      </x:c>
      <x:c r="AA25" s="17" t="n">
        <x:f>E25*(14-(1-H25)*MIN(14,G25/F25))</x:f>
        <x:v>411.55764705882353</x:v>
      </x:c>
      <x:c r="AB25" s="17" t="n">
        <x:f>E25*(15-(1-H25)*MIN(15,G25/F25))</x:f>
        <x:v>443.55764705882353</x:v>
      </x:c>
      <x:c r="AC25" s="17" t="n">
        <x:f>E25*(16-(1-H25)*MIN(16,G25/F25))</x:f>
        <x:v>475.55764705882353</x:v>
      </x:c>
      <x:c r="AD25" s="17" t="n">
        <x:f>E25*(17-(1-H25)*MIN(17,G25/F25))</x:f>
        <x:v>507.55764705882353</x:v>
      </x:c>
      <x:c r="AE25" s="17" t="n">
        <x:f>E25*(18-(1-H25)*MIN(18,G25/F25))</x:f>
        <x:v>539.5576470588235</x:v>
      </x:c>
      <x:c r="AF25" s="17" t="n">
        <x:f>E25*(19-(1-H25)*MIN(19,G25/F25))</x:f>
        <x:v>571.5576470588235</x:v>
      </x:c>
      <x:c r="AG25" s="17" t="n">
        <x:f>E25*(20-(1-H25)*MIN(20,G25/F25))</x:f>
        <x:v>603.5576470588235</x:v>
      </x:c>
    </x:row>
    <x:row r="26" ht="23" customHeight="1">
      <x:c r="A26" s="2" t="str">
        <x:v>BREN 3 支援型</x:v>
      </x:c>
      <x:c r="B26" s="2" t="n">
        <x:v>50</x:v>
      </x:c>
      <x:c r="C26" s="2" t="str">
        <x:v>头</x:v>
      </x:c>
      <x:c r="D26" s="16" t="n">
        <x:f>IF(B26&lt;='参数'!G7,1,IF(B26&lt;=60,0.75,0.55))</x:f>
        <x:v>1</x:v>
      </x:c>
      <x:c r="E26" s="16" t="n">
        <x:f>'参数'!C7*D26</x:f>
        <x:v>80</x:v>
      </x:c>
      <x:c r="F26" s="16" t="n">
        <x:f>'参数'!D7*IF('参数'!$B$28=1,D26,1)</x:f>
        <x:v>34</x:v>
      </x:c>
      <x:c r="G26" s="16" t="n">
        <x:f>'参数'!$B$24</x:f>
        <x:v>50</x:v>
      </x:c>
      <x:c r="H26" s="16" t="n">
        <x:f>'参数'!$B$26</x:f>
        <x:v>0.749</x:v>
      </x:c>
      <x:c r="I26" s="16" t="n">
        <x:f>'参数'!$B$23</x:f>
        <x:v>100</x:v>
      </x:c>
      <x:c r="J26" s="2" t="n">
        <x:f>IF(AG26&lt;I26,"n.a.",COUNTIFS(N26:AG26,"&lt;"&amp;I26)+1)</x:f>
        <x:v>2</x:v>
      </x:c>
      <x:c r="K26" s="17" t="n">
        <x:f>IF(J26="n.a.","n.a.",(J26-1)*60000/'参数'!E7)</x:f>
        <x:v>83.33333333333333</x:v>
      </x:c>
      <x:c r="L26" s="17" t="n">
        <x:f>IF(J26="n.a.","n.a.",'参数'!J7+B26/'参数'!H7*1000+(J26/'参数'!$B$29-1)*60000/'参数'!E7)</x:f>
        <x:v>660.9756097560976</x:v>
      </x:c>
      <x:c r="M26" s="17" t="n">
        <x:f>IF(J26="n.a.","n.a.",'参数'!F7*'参数'!$B$29/J26)</x:f>
        <x:v>10</x:v>
      </x:c>
      <x:c r="N26" s="17" t="n">
        <x:f>E26*(1-(1-H26)*MIN(1,G26/F26))</x:f>
        <x:v>59.92</x:v>
      </x:c>
      <x:c r="O26" s="17" t="n">
        <x:f>E26*(2-(1-H26)*MIN(2,G26/F26))</x:f>
        <x:v>130.47058823529412</x:v>
      </x:c>
      <x:c r="P26" s="17" t="n">
        <x:f>E26*(3-(1-H26)*MIN(3,G26/F26))</x:f>
        <x:v>210.47058823529412</x:v>
      </x:c>
      <x:c r="Q26" s="17" t="n">
        <x:f>E26*(4-(1-H26)*MIN(4,G26/F26))</x:f>
        <x:v>290.47058823529414</x:v>
      </x:c>
      <x:c r="R26" s="17" t="n">
        <x:f>E26*(5-(1-H26)*MIN(5,G26/F26))</x:f>
        <x:v>370.47058823529414</x:v>
      </x:c>
      <x:c r="S26" s="17" t="n">
        <x:f>E26*(6-(1-H26)*MIN(6,G26/F26))</x:f>
        <x:v>450.47058823529414</x:v>
      </x:c>
      <x:c r="T26" s="17" t="n">
        <x:f>E26*(7-(1-H26)*MIN(7,G26/F26))</x:f>
        <x:v>530.4705882352941</x:v>
      </x:c>
      <x:c r="U26" s="17" t="n">
        <x:f>E26*(8-(1-H26)*MIN(8,G26/F26))</x:f>
        <x:v>610.4705882352941</x:v>
      </x:c>
      <x:c r="V26" s="17" t="n">
        <x:f>E26*(9-(1-H26)*MIN(9,G26/F26))</x:f>
        <x:v>690.4705882352941</x:v>
      </x:c>
      <x:c r="W26" s="17" t="n">
        <x:f>E26*(10-(1-H26)*MIN(10,G26/F26))</x:f>
        <x:v>770.4705882352941</x:v>
      </x:c>
      <x:c r="X26" s="17" t="n">
        <x:f>E26*(11-(1-H26)*MIN(11,G26/F26))</x:f>
        <x:v>850.4705882352941</x:v>
      </x:c>
      <x:c r="Y26" s="17" t="n">
        <x:f>E26*(12-(1-H26)*MIN(12,G26/F26))</x:f>
        <x:v>930.4705882352941</x:v>
      </x:c>
      <x:c r="Z26" s="17" t="n">
        <x:f>E26*(13-(1-H26)*MIN(13,G26/F26))</x:f>
        <x:v>1010.4705882352941</x:v>
      </x:c>
      <x:c r="AA26" s="17" t="n">
        <x:f>E26*(14-(1-H26)*MIN(14,G26/F26))</x:f>
        <x:v>1090.4705882352941</x:v>
      </x:c>
      <x:c r="AB26" s="17" t="n">
        <x:f>E26*(15-(1-H26)*MIN(15,G26/F26))</x:f>
        <x:v>1170.4705882352941</x:v>
      </x:c>
      <x:c r="AC26" s="17" t="n">
        <x:f>E26*(16-(1-H26)*MIN(16,G26/F26))</x:f>
        <x:v>1250.4705882352941</x:v>
      </x:c>
      <x:c r="AD26" s="17" t="n">
        <x:f>E26*(17-(1-H26)*MIN(17,G26/F26))</x:f>
        <x:v>1330.4705882352941</x:v>
      </x:c>
      <x:c r="AE26" s="17" t="n">
        <x:f>E26*(18-(1-H26)*MIN(18,G26/F26))</x:f>
        <x:v>1410.4705882352941</x:v>
      </x:c>
      <x:c r="AF26" s="17" t="n">
        <x:f>E26*(19-(1-H26)*MIN(19,G26/F26))</x:f>
        <x:v>1490.4705882352941</x:v>
      </x:c>
      <x:c r="AG26" s="17" t="n">
        <x:f>E26*(20-(1-H26)*MIN(20,G26/F26))</x:f>
        <x:v>1570.4705882352941</x:v>
      </x:c>
    </x:row>
    <x:row r="27" ht="23" customHeight="1">
      <x:c r="A27" s="2" t="str">
        <x:v>BREN 3 支援型</x:v>
      </x:c>
      <x:c r="B27" s="2" t="n">
        <x:v>50</x:v>
      </x:c>
      <x:c r="C27" s="2" t="str">
        <x:v>胸</x:v>
      </x:c>
      <x:c r="D27" s="16" t="n">
        <x:f>IF(B27&lt;='参数'!G7,1,IF(B27&lt;=60,0.75,0.55))</x:f>
        <x:v>1</x:v>
      </x:c>
      <x:c r="E27" s="16" t="n">
        <x:f>'参数'!B7*D27</x:f>
        <x:v>32</x:v>
      </x:c>
      <x:c r="F27" s="16" t="n">
        <x:f>'参数'!D7*IF('参数'!$B$28=1,D27,1)</x:f>
        <x:v>34</x:v>
      </x:c>
      <x:c r="G27" s="16" t="n">
        <x:f>'参数'!$B$25</x:f>
        <x:v>110</x:v>
      </x:c>
      <x:c r="H27" s="16" t="n">
        <x:f>'参数'!$B$27</x:f>
        <x:v>0.648</x:v>
      </x:c>
      <x:c r="I27" s="16" t="n">
        <x:f>'参数'!$B$23</x:f>
        <x:v>100</x:v>
      </x:c>
      <x:c r="J27" s="2" t="n">
        <x:f>IF(AG27&lt;I27,"n.a.",COUNTIFS(N27:AG27,"&lt;"&amp;I27)+1)</x:f>
        <x:v>5</x:v>
      </x:c>
      <x:c r="K27" s="17" t="n">
        <x:f>IF(J27="n.a.","n.a.",(J27-1)*60000/'参数'!E7)</x:f>
        <x:v>333.3333333333333</x:v>
      </x:c>
      <x:c r="L27" s="17" t="n">
        <x:f>IF(J27="n.a.","n.a.",'参数'!J7+B27/'参数'!H7*1000+(J27/'参数'!$B$29-1)*60000/'参数'!E7)</x:f>
        <x:v>1160.9756097560976</x:v>
      </x:c>
      <x:c r="M27" s="17" t="n">
        <x:f>IF(J27="n.a.","n.a.",'参数'!F7*'参数'!$B$29/J27)</x:f>
        <x:v>4</x:v>
      </x:c>
      <x:c r="N27" s="17" t="n">
        <x:f>E27*(1-(1-H27)*MIN(1,G27/F27))</x:f>
        <x:v>20.736</x:v>
      </x:c>
      <x:c r="O27" s="17" t="n">
        <x:f>E27*(2-(1-H27)*MIN(2,G27/F27))</x:f>
        <x:v>41.472</x:v>
      </x:c>
      <x:c r="P27" s="17" t="n">
        <x:f>E27*(3-(1-H27)*MIN(3,G27/F27))</x:f>
        <x:v>62.208</x:v>
      </x:c>
      <x:c r="Q27" s="17" t="n">
        <x:f>E27*(4-(1-H27)*MIN(4,G27/F27))</x:f>
        <x:v>91.55764705882353</x:v>
      </x:c>
      <x:c r="R27" s="17" t="n">
        <x:f>E27*(5-(1-H27)*MIN(5,G27/F27))</x:f>
        <x:v>123.55764705882353</x:v>
      </x:c>
      <x:c r="S27" s="17" t="n">
        <x:f>E27*(6-(1-H27)*MIN(6,G27/F27))</x:f>
        <x:v>155.55764705882353</x:v>
      </x:c>
      <x:c r="T27" s="17" t="n">
        <x:f>E27*(7-(1-H27)*MIN(7,G27/F27))</x:f>
        <x:v>187.55764705882353</x:v>
      </x:c>
      <x:c r="U27" s="17" t="n">
        <x:f>E27*(8-(1-H27)*MIN(8,G27/F27))</x:f>
        <x:v>219.55764705882353</x:v>
      </x:c>
      <x:c r="V27" s="17" t="n">
        <x:f>E27*(9-(1-H27)*MIN(9,G27/F27))</x:f>
        <x:v>251.55764705882353</x:v>
      </x:c>
      <x:c r="W27" s="17" t="n">
        <x:f>E27*(10-(1-H27)*MIN(10,G27/F27))</x:f>
        <x:v>283.55764705882353</x:v>
      </x:c>
      <x:c r="X27" s="17" t="n">
        <x:f>E27*(11-(1-H27)*MIN(11,G27/F27))</x:f>
        <x:v>315.55764705882353</x:v>
      </x:c>
      <x:c r="Y27" s="17" t="n">
        <x:f>E27*(12-(1-H27)*MIN(12,G27/F27))</x:f>
        <x:v>347.55764705882353</x:v>
      </x:c>
      <x:c r="Z27" s="17" t="n">
        <x:f>E27*(13-(1-H27)*MIN(13,G27/F27))</x:f>
        <x:v>379.55764705882353</x:v>
      </x:c>
      <x:c r="AA27" s="17" t="n">
        <x:f>E27*(14-(1-H27)*MIN(14,G27/F27))</x:f>
        <x:v>411.55764705882353</x:v>
      </x:c>
      <x:c r="AB27" s="17" t="n">
        <x:f>E27*(15-(1-H27)*MIN(15,G27/F27))</x:f>
        <x:v>443.55764705882353</x:v>
      </x:c>
      <x:c r="AC27" s="17" t="n">
        <x:f>E27*(16-(1-H27)*MIN(16,G27/F27))</x:f>
        <x:v>475.55764705882353</x:v>
      </x:c>
      <x:c r="AD27" s="17" t="n">
        <x:f>E27*(17-(1-H27)*MIN(17,G27/F27))</x:f>
        <x:v>507.55764705882353</x:v>
      </x:c>
      <x:c r="AE27" s="17" t="n">
        <x:f>E27*(18-(1-H27)*MIN(18,G27/F27))</x:f>
        <x:v>539.5576470588235</x:v>
      </x:c>
      <x:c r="AF27" s="17" t="n">
        <x:f>E27*(19-(1-H27)*MIN(19,G27/F27))</x:f>
        <x:v>571.5576470588235</x:v>
      </x:c>
      <x:c r="AG27" s="17" t="n">
        <x:f>E27*(20-(1-H27)*MIN(20,G27/F27))</x:f>
        <x:v>603.5576470588235</x:v>
      </x:c>
    </x:row>
    <x:row r="28" ht="23" customHeight="1">
      <x:c r="A28" s="2" t="str">
        <x:v>BREN 3 支援型</x:v>
      </x:c>
      <x:c r="B28" s="2" t="n">
        <x:v>80</x:v>
      </x:c>
      <x:c r="C28" s="2" t="str">
        <x:v>头</x:v>
      </x:c>
      <x:c r="D28" s="16" t="n">
        <x:f>IF(B28&lt;='参数'!G7,1,IF(B28&lt;=60,0.75,0.55))</x:f>
        <x:v>0.55</x:v>
      </x:c>
      <x:c r="E28" s="16" t="n">
        <x:f>'参数'!C7*D28</x:f>
        <x:v>44</x:v>
      </x:c>
      <x:c r="F28" s="16" t="n">
        <x:f>'参数'!D7*IF('参数'!$B$28=1,D28,1)</x:f>
        <x:v>34</x:v>
      </x:c>
      <x:c r="G28" s="16" t="n">
        <x:f>'参数'!$B$24</x:f>
        <x:v>50</x:v>
      </x:c>
      <x:c r="H28" s="16" t="n">
        <x:f>'参数'!$B$26</x:f>
        <x:v>0.749</x:v>
      </x:c>
      <x:c r="I28" s="16" t="n">
        <x:f>'参数'!$B$23</x:f>
        <x:v>100</x:v>
      </x:c>
      <x:c r="J28" s="2" t="n">
        <x:f>IF(AG28&lt;I28,"n.a.",COUNTIFS(N28:AG28,"&lt;"&amp;I28)+1)</x:f>
        <x:v>3</x:v>
      </x:c>
      <x:c r="K28" s="17" t="n">
        <x:f>IF(J28="n.a.","n.a.",(J28-1)*60000/'参数'!E7)</x:f>
        <x:v>166.66666666666666</x:v>
      </x:c>
      <x:c r="L28" s="17" t="n">
        <x:f>IF(J28="n.a.","n.a.",'参数'!J7+B28/'参数'!H7*1000+(J28/'参数'!$B$29-1)*60000/'参数'!E7)</x:f>
        <x:v>864.2276422764228</x:v>
      </x:c>
      <x:c r="M28" s="17" t="n">
        <x:f>IF(J28="n.a.","n.a.",'参数'!F7*'参数'!$B$29/J28)</x:f>
        <x:v>6.666666666666667</x:v>
      </x:c>
      <x:c r="N28" s="17" t="n">
        <x:f>E28*(1-(1-H28)*MIN(1,G28/F28))</x:f>
        <x:v>32.956</x:v>
      </x:c>
      <x:c r="O28" s="17" t="n">
        <x:f>E28*(2-(1-H28)*MIN(2,G28/F28))</x:f>
        <x:v>71.75882352941176</x:v>
      </x:c>
      <x:c r="P28" s="17" t="n">
        <x:f>E28*(3-(1-H28)*MIN(3,G28/F28))</x:f>
        <x:v>115.75882352941176</x:v>
      </x:c>
      <x:c r="Q28" s="17" t="n">
        <x:f>E28*(4-(1-H28)*MIN(4,G28/F28))</x:f>
        <x:v>159.75882352941176</x:v>
      </x:c>
      <x:c r="R28" s="17" t="n">
        <x:f>E28*(5-(1-H28)*MIN(5,G28/F28))</x:f>
        <x:v>203.75882352941176</x:v>
      </x:c>
      <x:c r="S28" s="17" t="n">
        <x:f>E28*(6-(1-H28)*MIN(6,G28/F28))</x:f>
        <x:v>247.75882352941176</x:v>
      </x:c>
      <x:c r="T28" s="17" t="n">
        <x:f>E28*(7-(1-H28)*MIN(7,G28/F28))</x:f>
        <x:v>291.75882352941176</x:v>
      </x:c>
      <x:c r="U28" s="17" t="n">
        <x:f>E28*(8-(1-H28)*MIN(8,G28/F28))</x:f>
        <x:v>335.75882352941176</x:v>
      </x:c>
      <x:c r="V28" s="17" t="n">
        <x:f>E28*(9-(1-H28)*MIN(9,G28/F28))</x:f>
        <x:v>379.75882352941176</x:v>
      </x:c>
      <x:c r="W28" s="17" t="n">
        <x:f>E28*(10-(1-H28)*MIN(10,G28/F28))</x:f>
        <x:v>423.75882352941176</x:v>
      </x:c>
      <x:c r="X28" s="17" t="n">
        <x:f>E28*(11-(1-H28)*MIN(11,G28/F28))</x:f>
        <x:v>467.75882352941176</x:v>
      </x:c>
      <x:c r="Y28" s="17" t="n">
        <x:f>E28*(12-(1-H28)*MIN(12,G28/F28))</x:f>
        <x:v>511.75882352941176</x:v>
      </x:c>
      <x:c r="Z28" s="17" t="n">
        <x:f>E28*(13-(1-H28)*MIN(13,G28/F28))</x:f>
        <x:v>555.7588235294118</x:v>
      </x:c>
      <x:c r="AA28" s="17" t="n">
        <x:f>E28*(14-(1-H28)*MIN(14,G28/F28))</x:f>
        <x:v>599.7588235294118</x:v>
      </x:c>
      <x:c r="AB28" s="17" t="n">
        <x:f>E28*(15-(1-H28)*MIN(15,G28/F28))</x:f>
        <x:v>643.7588235294118</x:v>
      </x:c>
      <x:c r="AC28" s="17" t="n">
        <x:f>E28*(16-(1-H28)*MIN(16,G28/F28))</x:f>
        <x:v>687.7588235294118</x:v>
      </x:c>
      <x:c r="AD28" s="17" t="n">
        <x:f>E28*(17-(1-H28)*MIN(17,G28/F28))</x:f>
        <x:v>731.7588235294119</x:v>
      </x:c>
      <x:c r="AE28" s="17" t="n">
        <x:f>E28*(18-(1-H28)*MIN(18,G28/F28))</x:f>
        <x:v>775.7588235294119</x:v>
      </x:c>
      <x:c r="AF28" s="17" t="n">
        <x:f>E28*(19-(1-H28)*MIN(19,G28/F28))</x:f>
        <x:v>819.7588235294119</x:v>
      </x:c>
      <x:c r="AG28" s="17" t="n">
        <x:f>E28*(20-(1-H28)*MIN(20,G28/F28))</x:f>
        <x:v>863.7588235294119</x:v>
      </x:c>
    </x:row>
    <x:row r="29" ht="23" customHeight="1">
      <x:c r="A29" s="2" t="str">
        <x:v>BREN 3 支援型</x:v>
      </x:c>
      <x:c r="B29" s="2" t="n">
        <x:v>80</x:v>
      </x:c>
      <x:c r="C29" s="2" t="str">
        <x:v>胸</x:v>
      </x:c>
      <x:c r="D29" s="16" t="n">
        <x:f>IF(B29&lt;='参数'!G7,1,IF(B29&lt;=60,0.75,0.55))</x:f>
        <x:v>0.55</x:v>
      </x:c>
      <x:c r="E29" s="16" t="n">
        <x:f>'参数'!B7*D29</x:f>
        <x:v>17.6</x:v>
      </x:c>
      <x:c r="F29" s="16" t="n">
        <x:f>'参数'!D7*IF('参数'!$B$28=1,D29,1)</x:f>
        <x:v>34</x:v>
      </x:c>
      <x:c r="G29" s="16" t="n">
        <x:f>'参数'!$B$25</x:f>
        <x:v>110</x:v>
      </x:c>
      <x:c r="H29" s="16" t="n">
        <x:f>'参数'!$B$27</x:f>
        <x:v>0.648</x:v>
      </x:c>
      <x:c r="I29" s="16" t="n">
        <x:f>'参数'!$B$23</x:f>
        <x:v>100</x:v>
      </x:c>
      <x:c r="J29" s="2" t="n">
        <x:f>IF(AG29&lt;I29,"n.a.",COUNTIFS(N29:AG29,"&lt;"&amp;I29)+1)</x:f>
        <x:v>7</x:v>
      </x:c>
      <x:c r="K29" s="17" t="n">
        <x:f>IF(J29="n.a.","n.a.",(J29-1)*60000/'参数'!E7)</x:f>
        <x:v>500</x:v>
      </x:c>
      <x:c r="L29" s="17" t="n">
        <x:f>IF(J29="n.a.","n.a.",'参数'!J7+B29/'参数'!H7*1000+(J29/'参数'!$B$29-1)*60000/'参数'!E7)</x:f>
        <x:v>1530.8943089430893</x:v>
      </x:c>
      <x:c r="M29" s="17" t="n">
        <x:f>IF(J29="n.a.","n.a.",'参数'!F7*'参数'!$B$29/J29)</x:f>
        <x:v>2.857142857142857</x:v>
      </x:c>
      <x:c r="N29" s="17" t="n">
        <x:f>E29*(1-(1-H29)*MIN(1,G29/F29))</x:f>
        <x:v>11.404800000000002</x:v>
      </x:c>
      <x:c r="O29" s="17" t="n">
        <x:f>E29*(2-(1-H29)*MIN(2,G29/F29))</x:f>
        <x:v>22.809600000000003</x:v>
      </x:c>
      <x:c r="P29" s="17" t="n">
        <x:f>E29*(3-(1-H29)*MIN(3,G29/F29))</x:f>
        <x:v>34.214400000000005</x:v>
      </x:c>
      <x:c r="Q29" s="17" t="n">
        <x:f>E29*(4-(1-H29)*MIN(4,G29/F29))</x:f>
        <x:v>50.35670588235295</x:v>
      </x:c>
      <x:c r="R29" s="17" t="n">
        <x:f>E29*(5-(1-H29)*MIN(5,G29/F29))</x:f>
        <x:v>67.95670588235295</x:v>
      </x:c>
      <x:c r="S29" s="17" t="n">
        <x:f>E29*(6-(1-H29)*MIN(6,G29/F29))</x:f>
        <x:v>85.55670588235294</x:v>
      </x:c>
      <x:c r="T29" s="17" t="n">
        <x:f>E29*(7-(1-H29)*MIN(7,G29/F29))</x:f>
        <x:v>103.15670588235295</x:v>
      </x:c>
      <x:c r="U29" s="17" t="n">
        <x:f>E29*(8-(1-H29)*MIN(8,G29/F29))</x:f>
        <x:v>120.75670588235295</x:v>
      </x:c>
      <x:c r="V29" s="17" t="n">
        <x:f>E29*(9-(1-H29)*MIN(9,G29/F29))</x:f>
        <x:v>138.35670588235294</x:v>
      </x:c>
      <x:c r="W29" s="17" t="n">
        <x:f>E29*(10-(1-H29)*MIN(10,G29/F29))</x:f>
        <x:v>155.95670588235296</x:v>
      </x:c>
      <x:c r="X29" s="17" t="n">
        <x:f>E29*(11-(1-H29)*MIN(11,G29/F29))</x:f>
        <x:v>173.55670588235296</x:v>
      </x:c>
      <x:c r="Y29" s="17" t="n">
        <x:f>E29*(12-(1-H29)*MIN(12,G29/F29))</x:f>
        <x:v>191.15670588235295</x:v>
      </x:c>
      <x:c r="Z29" s="17" t="n">
        <x:f>E29*(13-(1-H29)*MIN(13,G29/F29))</x:f>
        <x:v>208.75670588235295</x:v>
      </x:c>
      <x:c r="AA29" s="17" t="n">
        <x:f>E29*(14-(1-H29)*MIN(14,G29/F29))</x:f>
        <x:v>226.35670588235297</x:v>
      </x:c>
      <x:c r="AB29" s="17" t="n">
        <x:f>E29*(15-(1-H29)*MIN(15,G29/F29))</x:f>
        <x:v>243.95670588235296</x:v>
      </x:c>
      <x:c r="AC29" s="17" t="n">
        <x:f>E29*(16-(1-H29)*MIN(16,G29/F29))</x:f>
        <x:v>261.55670588235296</x:v>
      </x:c>
      <x:c r="AD29" s="17" t="n">
        <x:f>E29*(17-(1-H29)*MIN(17,G29/F29))</x:f>
        <x:v>279.156705882353</x:v>
      </x:c>
      <x:c r="AE29" s="17" t="n">
        <x:f>E29*(18-(1-H29)*MIN(18,G29/F29))</x:f>
        <x:v>296.75670588235295</x:v>
      </x:c>
      <x:c r="AF29" s="17" t="n">
        <x:f>E29*(19-(1-H29)*MIN(19,G29/F29))</x:f>
        <x:v>314.3567058823529</x:v>
      </x:c>
      <x:c r="AG29" s="17" t="n">
        <x:f>E29*(20-(1-H29)*MIN(20,G29/F29))</x:f>
        <x:v>331.95670588235294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7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3" customHeight="1">
      <x:c r="A2" s="4" t="str">
        <x:v>死亡后的配置恢复路径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3" customHeight="1">
      <x:c r="A3" s="2" t="str">
        <x:v>每回合死亡，未买得起时零支出存钱。不计击杀/下包/售枪；仅测试可达性，不预测比赛行为。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30" customHeight="1">
      <x:c r="A5" s="8" t="str">
        <x:v>配置</x:v>
      </x:c>
      <x:c r="B5" s="8" t="str">
        <x:v>回合</x:v>
      </x:c>
      <x:c r="C5" s="8" t="str">
        <x:v>开局现金</x:v>
      </x:c>
      <x:c r="D5" s="8" t="str">
        <x:v>枪价</x:v>
      </x:c>
      <x:c r="E5" s="8" t="str">
        <x:v>全甲+道具</x:v>
      </x:c>
      <x:c r="F5" s="8" t="str">
        <x:v>需支出</x:v>
      </x:c>
      <x:c r="G5" s="8" t="str">
        <x:v>可完整购买</x:v>
      </x:c>
      <x:c r="H5" s="8" t="str">
        <x:v>实际支出</x:v>
      </x:c>
      <x:c r="I5" s="8" t="str">
        <x:v>胜负</x:v>
      </x:c>
      <x:c r="J5" s="8" t="str">
        <x:v>回合收入</x:v>
      </x:c>
      <x:c r="K5" s="8" t="str">
        <x:v>下一局现金</x:v>
      </x:c>
    </x:row>
    <x:row r="6" ht="23" customHeight="1">
      <x:c r="A6" s="2" t="str">
        <x:v>BREN 3 标准型</x:v>
      </x:c>
      <x:c r="B6" s="2" t="n">
        <x:v>1</x:v>
      </x:c>
      <x:c r="C6" s="13" t="n">
        <x:f>'参数'!$B$33</x:f>
        <x:v>10000</x:v>
      </x:c>
      <x:c r="D6" s="13" t="n">
        <x:f>'参数'!N5</x:f>
        <x:v>2600</x:v>
      </x:c>
      <x:c r="E6" s="13" t="n">
        <x:f>SUM('参数'!$B$30:$B$31)</x:f>
        <x:v>1250</x:v>
      </x:c>
      <x:c r="F6" s="13" t="n">
        <x:f>SUM(D6:E6)</x:f>
        <x:v>3850</x:v>
      </x:c>
      <x:c r="G6" s="13" t="n">
        <x:f>IF(C6&gt;=F6,1,0)</x:f>
        <x:v>1</x:v>
      </x:c>
      <x:c r="H6" s="13" t="n">
        <x:f>F6*G6</x:f>
        <x:v>3850</x:v>
      </x:c>
      <x:c r="I6" s="13" t="str">
        <x:v>胜</x:v>
      </x:c>
      <x:c r="J6" s="13" t="n">
        <x:f>IF(I6="胜",'参数'!$B$32,'参数'!$B$35)</x:f>
        <x:v>3200</x:v>
      </x:c>
      <x:c r="K6" s="13" t="n">
        <x:f>MIN('参数'!$B$33,C6-H6+J6)</x:f>
        <x:v>9350</x:v>
      </x:c>
    </x:row>
    <x:row r="7" ht="23" customHeight="1">
      <x:c r="A7" s="2" t="str">
        <x:v>BREN 3 标准型</x:v>
      </x:c>
      <x:c r="B7" s="2" t="n">
        <x:v>2</x:v>
      </x:c>
      <x:c r="C7" s="13" t="n">
        <x:f>K6</x:f>
        <x:v>9350</x:v>
      </x:c>
      <x:c r="D7" s="13" t="n">
        <x:f>'参数'!N5</x:f>
        <x:v>2600</x:v>
      </x:c>
      <x:c r="E7" s="13" t="n">
        <x:f>SUM('参数'!$B$30:$B$31)</x:f>
        <x:v>1250</x:v>
      </x:c>
      <x:c r="F7" s="13" t="n">
        <x:f>SUM(D7:E7)</x:f>
        <x:v>3850</x:v>
      </x:c>
      <x:c r="G7" s="13" t="n">
        <x:f>IF(C7&gt;=F7,1,0)</x:f>
        <x:v>1</x:v>
      </x:c>
      <x:c r="H7" s="13" t="n">
        <x:f>F7*G7</x:f>
        <x:v>3850</x:v>
      </x:c>
      <x:c r="I7" s="13" t="str">
        <x:v>胜</x:v>
      </x:c>
      <x:c r="J7" s="13" t="n">
        <x:f>IF(I7="胜",'参数'!$B$32,IF(I6="胜",'参数'!$B$35,'参数'!$B$36))</x:f>
        <x:v>3200</x:v>
      </x:c>
      <x:c r="K7" s="13" t="n">
        <x:f>MIN('参数'!$B$33,C7-H7+J7)</x:f>
        <x:v>8700</x:v>
      </x:c>
    </x:row>
    <x:row r="8" ht="23" customHeight="1">
      <x:c r="A8" s="2" t="str">
        <x:v>BREN 3 标准型</x:v>
      </x:c>
      <x:c r="B8" s="2" t="n">
        <x:v>3</x:v>
      </x:c>
      <x:c r="C8" s="13" t="n">
        <x:f>K7</x:f>
        <x:v>8700</x:v>
      </x:c>
      <x:c r="D8" s="13" t="n">
        <x:f>'参数'!N5</x:f>
        <x:v>2600</x:v>
      </x:c>
      <x:c r="E8" s="13" t="n">
        <x:f>SUM('参数'!$B$30:$B$31)</x:f>
        <x:v>1250</x:v>
      </x:c>
      <x:c r="F8" s="13" t="n">
        <x:f>SUM(D8:E8)</x:f>
        <x:v>3850</x:v>
      </x:c>
      <x:c r="G8" s="13" t="n">
        <x:f>IF(C8&gt;=F8,1,0)</x:f>
        <x:v>1</x:v>
      </x:c>
      <x:c r="H8" s="13" t="n">
        <x:f>F8*G8</x:f>
        <x:v>3850</x:v>
      </x:c>
      <x:c r="I8" s="13" t="str">
        <x:v>胜</x:v>
      </x:c>
      <x:c r="J8" s="13" t="n">
        <x:f>IF(I8="胜",'参数'!$B$32,IF(I7="胜",'参数'!$B$35,IF(I6="胜",'参数'!$B$36,'参数'!$B$34)))</x:f>
        <x:v>3200</x:v>
      </x:c>
      <x:c r="K8" s="13" t="n">
        <x:f>MIN('参数'!$B$33,C8-H8+J8)</x:f>
        <x:v>8050</x:v>
      </x:c>
    </x:row>
    <x:row r="9" ht="23" customHeight="1">
      <x:c r="A9" s="2" t="str">
        <x:v>BREN 3 标准型</x:v>
      </x:c>
      <x:c r="B9" s="2" t="n">
        <x:v>4</x:v>
      </x:c>
      <x:c r="C9" s="13" t="n">
        <x:f>K8</x:f>
        <x:v>8050</x:v>
      </x:c>
      <x:c r="D9" s="13" t="n">
        <x:f>'参数'!N5</x:f>
        <x:v>2600</x:v>
      </x:c>
      <x:c r="E9" s="13" t="n">
        <x:f>SUM('参数'!$B$30:$B$31)</x:f>
        <x:v>1250</x:v>
      </x:c>
      <x:c r="F9" s="13" t="n">
        <x:f>SUM(D9:E9)</x:f>
        <x:v>3850</x:v>
      </x:c>
      <x:c r="G9" s="13" t="n">
        <x:f>IF(C9&gt;=F9,1,0)</x:f>
        <x:v>1</x:v>
      </x:c>
      <x:c r="H9" s="13" t="n">
        <x:f>F9*G9</x:f>
        <x:v>3850</x:v>
      </x:c>
      <x:c r="I9" s="13" t="str">
        <x:v>负</x:v>
      </x:c>
      <x:c r="J9" s="13" t="n">
        <x:f>IF(I9="胜",'参数'!$B$32,IF(I8="胜",'参数'!$B$35,IF(I7="胜",'参数'!$B$36,'参数'!$B$34)))</x:f>
        <x:v>2400</x:v>
      </x:c>
      <x:c r="K9" s="13" t="n">
        <x:f>MIN('参数'!$B$33,C9-H9+J9)</x:f>
        <x:v>6600</x:v>
      </x:c>
    </x:row>
    <x:row r="10" ht="23" customHeight="1">
      <x:c r="A10" s="2" t="str">
        <x:v>BREN 3 标准型</x:v>
      </x:c>
      <x:c r="B10" s="2" t="n">
        <x:v>5</x:v>
      </x:c>
      <x:c r="C10" s="13" t="n">
        <x:f>K9</x:f>
        <x:v>6600</x:v>
      </x:c>
      <x:c r="D10" s="13" t="n">
        <x:f>'参数'!N5</x:f>
        <x:v>2600</x:v>
      </x:c>
      <x:c r="E10" s="13" t="n">
        <x:f>SUM('参数'!$B$30:$B$31)</x:f>
        <x:v>1250</x:v>
      </x:c>
      <x:c r="F10" s="13" t="n">
        <x:f>SUM(D10:E10)</x:f>
        <x:v>3850</x:v>
      </x:c>
      <x:c r="G10" s="13" t="n">
        <x:f>IF(C10&gt;=F10,1,0)</x:f>
        <x:v>1</x:v>
      </x:c>
      <x:c r="H10" s="13" t="n">
        <x:f>F10*G10</x:f>
        <x:v>3850</x:v>
      </x:c>
      <x:c r="I10" s="13" t="str">
        <x:v>负</x:v>
      </x:c>
      <x:c r="J10" s="13" t="n">
        <x:f>IF(I10="胜",'参数'!$B$32,IF(I9="胜",'参数'!$B$35,IF(I8="胜",'参数'!$B$36,'参数'!$B$34)))</x:f>
        <x:v>3000</x:v>
      </x:c>
      <x:c r="K10" s="13" t="n">
        <x:f>MIN('参数'!$B$33,C10-H10+J10)</x:f>
        <x:v>5750</x:v>
      </x:c>
    </x:row>
    <x:row r="11" ht="23" customHeight="1">
      <x:c r="A11" s="2" t="str">
        <x:v>BREN 3 标准型</x:v>
      </x:c>
      <x:c r="B11" s="2" t="n">
        <x:v>6</x:v>
      </x:c>
      <x:c r="C11" s="13" t="n">
        <x:f>K10</x:f>
        <x:v>5750</x:v>
      </x:c>
      <x:c r="D11" s="13" t="n">
        <x:f>'参数'!N5</x:f>
        <x:v>2600</x:v>
      </x:c>
      <x:c r="E11" s="13" t="n">
        <x:f>SUM('参数'!$B$30:$B$31)</x:f>
        <x:v>1250</x:v>
      </x:c>
      <x:c r="F11" s="13" t="n">
        <x:f>SUM(D11:E11)</x:f>
        <x:v>3850</x:v>
      </x:c>
      <x:c r="G11" s="13" t="n">
        <x:f>IF(C11&gt;=F11,1,0)</x:f>
        <x:v>1</x:v>
      </x:c>
      <x:c r="H11" s="13" t="n">
        <x:f>F11*G11</x:f>
        <x:v>3850</x:v>
      </x:c>
      <x:c r="I11" s="13" t="str">
        <x:v>负</x:v>
      </x:c>
      <x:c r="J11" s="13" t="n">
        <x:f>IF(I11="胜",'参数'!$B$32,IF(I10="胜",'参数'!$B$35,IF(I9="胜",'参数'!$B$36,'参数'!$B$34)))</x:f>
        <x:v>3600</x:v>
      </x:c>
      <x:c r="K11" s="13" t="n">
        <x:f>MIN('参数'!$B$33,C11-H11+J11)</x:f>
        <x:v>5500</x:v>
      </x:c>
    </x:row>
    <x:row r="12" ht="23" customHeight="1">
      <x:c r="A12" s="2" t="str">
        <x:v>BREN 3 机动型</x:v>
      </x:c>
      <x:c r="B12" s="2" t="n">
        <x:v>1</x:v>
      </x:c>
      <x:c r="C12" s="13" t="n">
        <x:f>'参数'!$B$33</x:f>
        <x:v>10000</x:v>
      </x:c>
      <x:c r="D12" s="13" t="n">
        <x:f>'参数'!N6</x:f>
        <x:v>3050</x:v>
      </x:c>
      <x:c r="E12" s="13" t="n">
        <x:f>SUM('参数'!$B$30:$B$31)</x:f>
        <x:v>1250</x:v>
      </x:c>
      <x:c r="F12" s="13" t="n">
        <x:f>SUM(D12:E12)</x:f>
        <x:v>4300</x:v>
      </x:c>
      <x:c r="G12" s="13" t="n">
        <x:f>IF(C12&gt;=F12,1,0)</x:f>
        <x:v>1</x:v>
      </x:c>
      <x:c r="H12" s="13" t="n">
        <x:f>F12*G12</x:f>
        <x:v>4300</x:v>
      </x:c>
      <x:c r="I12" s="13" t="str">
        <x:v>胜</x:v>
      </x:c>
      <x:c r="J12" s="13" t="n">
        <x:f>IF(I12="胜",'参数'!$B$32,'参数'!$B$35)</x:f>
        <x:v>3200</x:v>
      </x:c>
      <x:c r="K12" s="13" t="n">
        <x:f>MIN('参数'!$B$33,C12-H12+J12)</x:f>
        <x:v>8900</x:v>
      </x:c>
    </x:row>
    <x:row r="13" ht="23" customHeight="1">
      <x:c r="A13" s="2" t="str">
        <x:v>BREN 3 机动型</x:v>
      </x:c>
      <x:c r="B13" s="2" t="n">
        <x:v>2</x:v>
      </x:c>
      <x:c r="C13" s="13" t="n">
        <x:f>K12</x:f>
        <x:v>8900</x:v>
      </x:c>
      <x:c r="D13" s="13" t="n">
        <x:f>'参数'!N6</x:f>
        <x:v>3050</x:v>
      </x:c>
      <x:c r="E13" s="13" t="n">
        <x:f>SUM('参数'!$B$30:$B$31)</x:f>
        <x:v>1250</x:v>
      </x:c>
      <x:c r="F13" s="13" t="n">
        <x:f>SUM(D13:E13)</x:f>
        <x:v>4300</x:v>
      </x:c>
      <x:c r="G13" s="13" t="n">
        <x:f>IF(C13&gt;=F13,1,0)</x:f>
        <x:v>1</x:v>
      </x:c>
      <x:c r="H13" s="13" t="n">
        <x:f>F13*G13</x:f>
        <x:v>4300</x:v>
      </x:c>
      <x:c r="I13" s="13" t="str">
        <x:v>胜</x:v>
      </x:c>
      <x:c r="J13" s="13" t="n">
        <x:f>IF(I13="胜",'参数'!$B$32,IF(I12="胜",'参数'!$B$35,'参数'!$B$36))</x:f>
        <x:v>3200</x:v>
      </x:c>
      <x:c r="K13" s="13" t="n">
        <x:f>MIN('参数'!$B$33,C13-H13+J13)</x:f>
        <x:v>7800</x:v>
      </x:c>
    </x:row>
    <x:row r="14" ht="23" customHeight="1">
      <x:c r="A14" s="2" t="str">
        <x:v>BREN 3 机动型</x:v>
      </x:c>
      <x:c r="B14" s="2" t="n">
        <x:v>3</x:v>
      </x:c>
      <x:c r="C14" s="13" t="n">
        <x:f>K13</x:f>
        <x:v>7800</x:v>
      </x:c>
      <x:c r="D14" s="13" t="n">
        <x:f>'参数'!N6</x:f>
        <x:v>3050</x:v>
      </x:c>
      <x:c r="E14" s="13" t="n">
        <x:f>SUM('参数'!$B$30:$B$31)</x:f>
        <x:v>1250</x:v>
      </x:c>
      <x:c r="F14" s="13" t="n">
        <x:f>SUM(D14:E14)</x:f>
        <x:v>4300</x:v>
      </x:c>
      <x:c r="G14" s="13" t="n">
        <x:f>IF(C14&gt;=F14,1,0)</x:f>
        <x:v>1</x:v>
      </x:c>
      <x:c r="H14" s="13" t="n">
        <x:f>F14*G14</x:f>
        <x:v>4300</x:v>
      </x:c>
      <x:c r="I14" s="13" t="str">
        <x:v>胜</x:v>
      </x:c>
      <x:c r="J14" s="13" t="n">
        <x:f>IF(I14="胜",'参数'!$B$32,IF(I13="胜",'参数'!$B$35,IF(I12="胜",'参数'!$B$36,'参数'!$B$34)))</x:f>
        <x:v>3200</x:v>
      </x:c>
      <x:c r="K14" s="13" t="n">
        <x:f>MIN('参数'!$B$33,C14-H14+J14)</x:f>
        <x:v>6700</x:v>
      </x:c>
    </x:row>
    <x:row r="15" ht="23" customHeight="1">
      <x:c r="A15" s="2" t="str">
        <x:v>BREN 3 机动型</x:v>
      </x:c>
      <x:c r="B15" s="2" t="n">
        <x:v>4</x:v>
      </x:c>
      <x:c r="C15" s="13" t="n">
        <x:f>K14</x:f>
        <x:v>6700</x:v>
      </x:c>
      <x:c r="D15" s="13" t="n">
        <x:f>'参数'!N6</x:f>
        <x:v>3050</x:v>
      </x:c>
      <x:c r="E15" s="13" t="n">
        <x:f>SUM('参数'!$B$30:$B$31)</x:f>
        <x:v>1250</x:v>
      </x:c>
      <x:c r="F15" s="13" t="n">
        <x:f>SUM(D15:E15)</x:f>
        <x:v>4300</x:v>
      </x:c>
      <x:c r="G15" s="13" t="n">
        <x:f>IF(C15&gt;=F15,1,0)</x:f>
        <x:v>1</x:v>
      </x:c>
      <x:c r="H15" s="13" t="n">
        <x:f>F15*G15</x:f>
        <x:v>4300</x:v>
      </x:c>
      <x:c r="I15" s="13" t="str">
        <x:v>负</x:v>
      </x:c>
      <x:c r="J15" s="13" t="n">
        <x:f>IF(I15="胜",'参数'!$B$32,IF(I14="胜",'参数'!$B$35,IF(I13="胜",'参数'!$B$36,'参数'!$B$34)))</x:f>
        <x:v>2400</x:v>
      </x:c>
      <x:c r="K15" s="13" t="n">
        <x:f>MIN('参数'!$B$33,C15-H15+J15)</x:f>
        <x:v>4800</x:v>
      </x:c>
    </x:row>
    <x:row r="16" ht="23" customHeight="1">
      <x:c r="A16" s="2" t="str">
        <x:v>BREN 3 机动型</x:v>
      </x:c>
      <x:c r="B16" s="2" t="n">
        <x:v>5</x:v>
      </x:c>
      <x:c r="C16" s="13" t="n">
        <x:f>K15</x:f>
        <x:v>4800</x:v>
      </x:c>
      <x:c r="D16" s="13" t="n">
        <x:f>'参数'!N6</x:f>
        <x:v>3050</x:v>
      </x:c>
      <x:c r="E16" s="13" t="n">
        <x:f>SUM('参数'!$B$30:$B$31)</x:f>
        <x:v>1250</x:v>
      </x:c>
      <x:c r="F16" s="13" t="n">
        <x:f>SUM(D16:E16)</x:f>
        <x:v>4300</x:v>
      </x:c>
      <x:c r="G16" s="13" t="n">
        <x:f>IF(C16&gt;=F16,1,0)</x:f>
        <x:v>1</x:v>
      </x:c>
      <x:c r="H16" s="13" t="n">
        <x:f>F16*G16</x:f>
        <x:v>4300</x:v>
      </x:c>
      <x:c r="I16" s="13" t="str">
        <x:v>负</x:v>
      </x:c>
      <x:c r="J16" s="13" t="n">
        <x:f>IF(I16="胜",'参数'!$B$32,IF(I15="胜",'参数'!$B$35,IF(I14="胜",'参数'!$B$36,'参数'!$B$34)))</x:f>
        <x:v>3000</x:v>
      </x:c>
      <x:c r="K16" s="13" t="n">
        <x:f>MIN('参数'!$B$33,C16-H16+J16)</x:f>
        <x:v>3500</x:v>
      </x:c>
    </x:row>
    <x:row r="17" ht="23" customHeight="1">
      <x:c r="A17" s="2" t="str">
        <x:v>BREN 3 机动型</x:v>
      </x:c>
      <x:c r="B17" s="2" t="n">
        <x:v>6</x:v>
      </x:c>
      <x:c r="C17" s="13" t="n">
        <x:f>K16</x:f>
        <x:v>3500</x:v>
      </x:c>
      <x:c r="D17" s="13" t="n">
        <x:f>'参数'!N6</x:f>
        <x:v>3050</x:v>
      </x:c>
      <x:c r="E17" s="13" t="n">
        <x:f>SUM('参数'!$B$30:$B$31)</x:f>
        <x:v>1250</x:v>
      </x:c>
      <x:c r="F17" s="13" t="n">
        <x:f>SUM(D17:E17)</x:f>
        <x:v>4300</x:v>
      </x:c>
      <x:c r="G17" s="13" t="n">
        <x:f>IF(C17&gt;=F17,1,0)</x:f>
        <x:v>0</x:v>
      </x:c>
      <x:c r="H17" s="13" t="n">
        <x:f>F17*G17</x:f>
        <x:v>0</x:v>
      </x:c>
      <x:c r="I17" s="13" t="str">
        <x:v>负</x:v>
      </x:c>
      <x:c r="J17" s="13" t="n">
        <x:f>IF(I17="胜",'参数'!$B$32,IF(I16="胜",'参数'!$B$35,IF(I15="胜",'参数'!$B$36,'参数'!$B$34)))</x:f>
        <x:v>3600</x:v>
      </x:c>
      <x:c r="K17" s="13" t="n">
        <x:f>MIN('参数'!$B$33,C17-H17+J17)</x:f>
        <x:v>7100</x:v>
      </x:c>
    </x:row>
    <x:row r="18" ht="23" customHeight="1">
      <x:c r="A18" s="2" t="str">
        <x:v>BREN 3 支援型</x:v>
      </x:c>
      <x:c r="B18" s="2" t="n">
        <x:v>1</x:v>
      </x:c>
      <x:c r="C18" s="13" t="n">
        <x:f>'参数'!$B$33</x:f>
        <x:v>10000</x:v>
      </x:c>
      <x:c r="D18" s="13" t="n">
        <x:f>'参数'!N7</x:f>
        <x:v>3400</x:v>
      </x:c>
      <x:c r="E18" s="13" t="n">
        <x:f>SUM('参数'!$B$30:$B$31)</x:f>
        <x:v>1250</x:v>
      </x:c>
      <x:c r="F18" s="13" t="n">
        <x:f>SUM(D18:E18)</x:f>
        <x:v>4650</x:v>
      </x:c>
      <x:c r="G18" s="13" t="n">
        <x:f>IF(C18&gt;=F18,1,0)</x:f>
        <x:v>1</x:v>
      </x:c>
      <x:c r="H18" s="13" t="n">
        <x:f>F18*G18</x:f>
        <x:v>4650</x:v>
      </x:c>
      <x:c r="I18" s="13" t="str">
        <x:v>胜</x:v>
      </x:c>
      <x:c r="J18" s="13" t="n">
        <x:f>IF(I18="胜",'参数'!$B$32,'参数'!$B$35)</x:f>
        <x:v>3200</x:v>
      </x:c>
      <x:c r="K18" s="13" t="n">
        <x:f>MIN('参数'!$B$33,C18-H18+J18)</x:f>
        <x:v>8550</x:v>
      </x:c>
    </x:row>
    <x:row r="19" ht="23" customHeight="1">
      <x:c r="A19" s="2" t="str">
        <x:v>BREN 3 支援型</x:v>
      </x:c>
      <x:c r="B19" s="2" t="n">
        <x:v>2</x:v>
      </x:c>
      <x:c r="C19" s="13" t="n">
        <x:f>K18</x:f>
        <x:v>8550</x:v>
      </x:c>
      <x:c r="D19" s="13" t="n">
        <x:f>'参数'!N7</x:f>
        <x:v>3400</x:v>
      </x:c>
      <x:c r="E19" s="13" t="n">
        <x:f>SUM('参数'!$B$30:$B$31)</x:f>
        <x:v>1250</x:v>
      </x:c>
      <x:c r="F19" s="13" t="n">
        <x:f>SUM(D19:E19)</x:f>
        <x:v>4650</x:v>
      </x:c>
      <x:c r="G19" s="13" t="n">
        <x:f>IF(C19&gt;=F19,1,0)</x:f>
        <x:v>1</x:v>
      </x:c>
      <x:c r="H19" s="13" t="n">
        <x:f>F19*G19</x:f>
        <x:v>4650</x:v>
      </x:c>
      <x:c r="I19" s="13" t="str">
        <x:v>胜</x:v>
      </x:c>
      <x:c r="J19" s="13" t="n">
        <x:f>IF(I19="胜",'参数'!$B$32,IF(I18="胜",'参数'!$B$35,'参数'!$B$36))</x:f>
        <x:v>3200</x:v>
      </x:c>
      <x:c r="K19" s="13" t="n">
        <x:f>MIN('参数'!$B$33,C19-H19+J19)</x:f>
        <x:v>7100</x:v>
      </x:c>
    </x:row>
    <x:row r="20" ht="23" customHeight="1">
      <x:c r="A20" s="2" t="str">
        <x:v>BREN 3 支援型</x:v>
      </x:c>
      <x:c r="B20" s="2" t="n">
        <x:v>3</x:v>
      </x:c>
      <x:c r="C20" s="13" t="n">
        <x:f>K19</x:f>
        <x:v>7100</x:v>
      </x:c>
      <x:c r="D20" s="13" t="n">
        <x:f>'参数'!N7</x:f>
        <x:v>3400</x:v>
      </x:c>
      <x:c r="E20" s="13" t="n">
        <x:f>SUM('参数'!$B$30:$B$31)</x:f>
        <x:v>1250</x:v>
      </x:c>
      <x:c r="F20" s="13" t="n">
        <x:f>SUM(D20:E20)</x:f>
        <x:v>4650</x:v>
      </x:c>
      <x:c r="G20" s="13" t="n">
        <x:f>IF(C20&gt;=F20,1,0)</x:f>
        <x:v>1</x:v>
      </x:c>
      <x:c r="H20" s="13" t="n">
        <x:f>F20*G20</x:f>
        <x:v>4650</x:v>
      </x:c>
      <x:c r="I20" s="13" t="str">
        <x:v>胜</x:v>
      </x:c>
      <x:c r="J20" s="13" t="n">
        <x:f>IF(I20="胜",'参数'!$B$32,IF(I19="胜",'参数'!$B$35,IF(I18="胜",'参数'!$B$36,'参数'!$B$34)))</x:f>
        <x:v>3200</x:v>
      </x:c>
      <x:c r="K20" s="13" t="n">
        <x:f>MIN('参数'!$B$33,C20-H20+J20)</x:f>
        <x:v>5650</x:v>
      </x:c>
    </x:row>
    <x:row r="21" ht="23" customHeight="1">
      <x:c r="A21" s="2" t="str">
        <x:v>BREN 3 支援型</x:v>
      </x:c>
      <x:c r="B21" s="2" t="n">
        <x:v>4</x:v>
      </x:c>
      <x:c r="C21" s="13" t="n">
        <x:f>K20</x:f>
        <x:v>5650</x:v>
      </x:c>
      <x:c r="D21" s="13" t="n">
        <x:f>'参数'!N7</x:f>
        <x:v>3400</x:v>
      </x:c>
      <x:c r="E21" s="13" t="n">
        <x:f>SUM('参数'!$B$30:$B$31)</x:f>
        <x:v>1250</x:v>
      </x:c>
      <x:c r="F21" s="13" t="n">
        <x:f>SUM(D21:E21)</x:f>
        <x:v>4650</x:v>
      </x:c>
      <x:c r="G21" s="13" t="n">
        <x:f>IF(C21&gt;=F21,1,0)</x:f>
        <x:v>1</x:v>
      </x:c>
      <x:c r="H21" s="13" t="n">
        <x:f>F21*G21</x:f>
        <x:v>4650</x:v>
      </x:c>
      <x:c r="I21" s="13" t="str">
        <x:v>负</x:v>
      </x:c>
      <x:c r="J21" s="13" t="n">
        <x:f>IF(I21="胜",'参数'!$B$32,IF(I20="胜",'参数'!$B$35,IF(I19="胜",'参数'!$B$36,'参数'!$B$34)))</x:f>
        <x:v>2400</x:v>
      </x:c>
      <x:c r="K21" s="13" t="n">
        <x:f>MIN('参数'!$B$33,C21-H21+J21)</x:f>
        <x:v>3400</x:v>
      </x:c>
    </x:row>
    <x:row r="22" ht="23" customHeight="1">
      <x:c r="A22" s="2" t="str">
        <x:v>BREN 3 支援型</x:v>
      </x:c>
      <x:c r="B22" s="2" t="n">
        <x:v>5</x:v>
      </x:c>
      <x:c r="C22" s="13" t="n">
        <x:f>K21</x:f>
        <x:v>3400</x:v>
      </x:c>
      <x:c r="D22" s="13" t="n">
        <x:f>'参数'!N7</x:f>
        <x:v>3400</x:v>
      </x:c>
      <x:c r="E22" s="13" t="n">
        <x:f>SUM('参数'!$B$30:$B$31)</x:f>
        <x:v>1250</x:v>
      </x:c>
      <x:c r="F22" s="13" t="n">
        <x:f>SUM(D22:E22)</x:f>
        <x:v>4650</x:v>
      </x:c>
      <x:c r="G22" s="13" t="n">
        <x:f>IF(C22&gt;=F22,1,0)</x:f>
        <x:v>0</x:v>
      </x:c>
      <x:c r="H22" s="13" t="n">
        <x:f>F22*G22</x:f>
        <x:v>0</x:v>
      </x:c>
      <x:c r="I22" s="13" t="str">
        <x:v>负</x:v>
      </x:c>
      <x:c r="J22" s="13" t="n">
        <x:f>IF(I22="胜",'参数'!$B$32,IF(I21="胜",'参数'!$B$35,IF(I20="胜",'参数'!$B$36,'参数'!$B$34)))</x:f>
        <x:v>3000</x:v>
      </x:c>
      <x:c r="K22" s="13" t="n">
        <x:f>MIN('参数'!$B$33,C22-H22+J22)</x:f>
        <x:v>6400</x:v>
      </x:c>
    </x:row>
    <x:row r="23" ht="23" customHeight="1">
      <x:c r="A23" s="2" t="str">
        <x:v>BREN 3 支援型</x:v>
      </x:c>
      <x:c r="B23" s="2" t="n">
        <x:v>6</x:v>
      </x:c>
      <x:c r="C23" s="13" t="n">
        <x:f>K22</x:f>
        <x:v>6400</x:v>
      </x:c>
      <x:c r="D23" s="13" t="n">
        <x:f>'参数'!N7</x:f>
        <x:v>3400</x:v>
      </x:c>
      <x:c r="E23" s="13" t="n">
        <x:f>SUM('参数'!$B$30:$B$31)</x:f>
        <x:v>1250</x:v>
      </x:c>
      <x:c r="F23" s="13" t="n">
        <x:f>SUM(D23:E23)</x:f>
        <x:v>4650</x:v>
      </x:c>
      <x:c r="G23" s="13" t="n">
        <x:f>IF(C23&gt;=F23,1,0)</x:f>
        <x:v>1</x:v>
      </x:c>
      <x:c r="H23" s="13" t="n">
        <x:f>F23*G23</x:f>
        <x:v>4650</x:v>
      </x:c>
      <x:c r="I23" s="13" t="str">
        <x:v>负</x:v>
      </x:c>
      <x:c r="J23" s="13" t="n">
        <x:f>IF(I23="胜",'参数'!$B$32,IF(I22="胜",'参数'!$B$35,IF(I21="胜",'参数'!$B$36,'参数'!$B$34)))</x:f>
        <x:v>3600</x:v>
      </x:c>
      <x:c r="K23" s="13" t="n">
        <x:f>MIN('参数'!$B$33,C23-H23+J23)</x:f>
        <x:v>5350</x:v>
      </x:c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</x:sheetData>
  <x:conditionalFormatting sqref="G6:G23">
    <x:cfRule type="cellIs" dxfId="0" priority="1" operator="equal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31" hidden="0" customWidth="1"/>
    <x:col min="3" max="3" width="54" hidden="0" customWidth="1"/>
    <x:col min="4" max="4" width="31" hidden="0" customWidth="1"/>
    <x:col min="5" max="5" width="31" hidden="0" customWidth="1"/>
    <x:col min="6" max="6" width="82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33" hidden="0" customWidth="1"/>
    <x:col min="12" max="12" width="60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3" customHeight="1">
      <x:c r="A2" s="4" t="str">
        <x:v>既有观察与研究来源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30" customHeight="1">
      <x:c r="A4" s="8" t="str">
        <x:v>武器已选配置</x:v>
      </x:c>
      <x:c r="B4" s="8" t="str">
        <x:v>品质</x:v>
      </x:c>
      <x:c r="C4" s="8" t="str">
        <x:v>截图枪价</x:v>
      </x:c>
      <x:c r="D4" s="8" t="str">
        <x:v>剩余预算</x:v>
      </x:c>
      <x:c r="E4" s="8" t="str">
        <x:v>躯干肉伤</x:v>
      </x:c>
      <x:c r="F4" s="8" t="str">
        <x:v>头部肉伤</x:v>
      </x:c>
      <x:c r="G4" s="8" t="str">
        <x:v>甲伤</x:v>
      </x:c>
      <x:c r="H4" s="8" t="str">
        <x:v>射速 rpm</x:v>
      </x:c>
      <x:c r="I4" s="8" t="str">
        <x:v>优势射程 m</x:v>
      </x:c>
      <x:c r="J4" s="8" t="str">
        <x:v>弹匣 发</x:v>
      </x:c>
      <x:c r="K4" s="8" t="str">
        <x:v>来源ID</x:v>
      </x:c>
      <x:c r="L4" s="8" t="str">
        <x:v>范围</x:v>
      </x:c>
    </x:row>
    <x:row r="5" ht="23" customHeight="1">
      <x:c r="A5" s="2" t="str">
        <x:v>SG552</x:v>
      </x:c>
      <x:c r="B5" s="2" t="str">
        <x:v>标准</x:v>
      </x:c>
      <x:c r="C5" s="2" t="n">
        <x:v>1600</x:v>
      </x:c>
      <x:c r="D5" s="2" t="n">
        <x:v>0</x:v>
      </x:c>
      <x:c r="E5" s="2" t="n">
        <x:v>25</x:v>
      </x:c>
      <x:c r="F5" s="2" t="n">
        <x:v>62</x:v>
      </x:c>
      <x:c r="G5" s="2" t="n">
        <x:v>34</x:v>
      </x:c>
      <x:c r="H5" s="2" t="n">
        <x:v>906</x:v>
      </x:c>
      <x:c r="I5" s="2" t="n">
        <x:v>27</x:v>
      </x:c>
      <x:c r="J5" s="2" t="n">
        <x:v>30</x:v>
      </x:c>
      <x:c r="K5" s="2" t="str">
        <x:v>OBS-BT-WEAPONS-001/002</x:v>
      </x:c>
      <x:c r="L5" s="2" t="str">
        <x:v>截图已选配置，非最优满改；2026-10-09</x:v>
      </x:c>
    </x:row>
    <x:row r="6" ht="23" customHeight="1">
      <x:c r="A6" s="2" t="str">
        <x:v>M14</x:v>
      </x:c>
      <x:c r="B6" s="2" t="str">
        <x:v>特种</x:v>
      </x:c>
      <x:c r="C6" s="2" t="n">
        <x:v>4100</x:v>
      </x:c>
      <x:c r="D6" s="2" t="n">
        <x:v>800</x:v>
      </x:c>
      <x:c r="E6" s="2" t="n">
        <x:v>39</x:v>
      </x:c>
      <x:c r="F6" s="2" t="n">
        <x:v>97</x:v>
      </x:c>
      <x:c r="G6" s="2" t="n">
        <x:v>41</x:v>
      </x:c>
      <x:c r="H6" s="2" t="n">
        <x:v>727</x:v>
      </x:c>
      <x:c r="I6" s="2" t="n">
        <x:v>29</x:v>
      </x:c>
      <x:c r="J6" s="2" t="n">
        <x:v>50</x:v>
      </x:c>
      <x:c r="K6" s="2" t="str">
        <x:v>OBS-BT-WEAPONS-001/002</x:v>
      </x:c>
      <x:c r="L6" s="2" t="str">
        <x:v>截图已选配置，非最优满改；2026-10-09</x:v>
      </x:c>
    </x:row>
    <x:row r="7" ht="23" customHeight="1">
      <x:c r="A7" s="2" t="str">
        <x:v>M700全自动配置</x:v>
      </x:c>
      <x:c r="B7" s="2" t="str">
        <x:v>精锐</x:v>
      </x:c>
      <x:c r="C7" s="2" t="n">
        <x:v>2600</x:v>
      </x:c>
      <x:c r="D7" s="2" t="n">
        <x:v>0</x:v>
      </x:c>
      <x:c r="E7" s="2" t="n">
        <x:v>61</x:v>
      </x:c>
      <x:c r="F7" s="2" t="n">
        <x:v>152</x:v>
      </x:c>
      <x:c r="G7" s="2" t="n">
        <x:v>58</x:v>
      </x:c>
      <x:c r="H7" s="2" t="n">
        <x:v>365</x:v>
      </x:c>
      <x:c r="I7" s="2" t="n">
        <x:v>86</x:v>
      </x:c>
      <x:c r="J7" s="2" t="n">
        <x:v>20</x:v>
      </x:c>
      <x:c r="K7" s="2" t="str">
        <x:v>OBS-BT-WEAPONS-001/002</x:v>
      </x:c>
      <x:c r="L7" s="2" t="str">
        <x:v>截图已选配置，非最优满改；2026-10-09</x:v>
      </x:c>
    </x:row>
    <x:row r="8" ht="23" customHeight="1">
      <x:c r="A8" s="2" t="str">
        <x:v>汤姆逊</x:v>
      </x:c>
      <x:c r="B8" s="2" t="str">
        <x:v>特种</x:v>
      </x:c>
      <x:c r="C8" s="2" t="n">
        <x:v>4000</x:v>
      </x:c>
      <x:c r="D8" s="2" t="n">
        <x:v>700</x:v>
      </x:c>
      <x:c r="E8" s="2" t="n">
        <x:v>37</x:v>
      </x:c>
      <x:c r="F8" s="2" t="n">
        <x:v>70</x:v>
      </x:c>
      <x:c r="G8" s="2" t="n">
        <x:v>37</x:v>
      </x:c>
      <x:c r="H8" s="2" t="n">
        <x:v>900</x:v>
      </x:c>
      <x:c r="I8" s="2" t="n">
        <x:v>26</x:v>
      </x:c>
      <x:c r="J8" s="2" t="n">
        <x:v>35</x:v>
      </x:c>
      <x:c r="K8" s="2" t="str">
        <x:v>OBS-BT-WEAPONS-001/002</x:v>
      </x:c>
      <x:c r="L8" s="2" t="str">
        <x:v>截图已选配置，非最优满改；2026-10-09</x:v>
      </x:c>
    </x:row>
    <x:row r="9" ht="23" customHeight="1">
      <x:c r="A9" s="2" t="str">
        <x:v>M7</x:v>
      </x:c>
      <x:c r="B9" s="2" t="str">
        <x:v>特种</x:v>
      </x:c>
      <x:c r="C9" s="2" t="n">
        <x:v>4100</x:v>
      </x:c>
      <x:c r="D9" s="2" t="n">
        <x:v>700</x:v>
      </x:c>
      <x:c r="E9" s="2" t="n">
        <x:v>39</x:v>
      </x:c>
      <x:c r="F9" s="2" t="n">
        <x:v>97</x:v>
      </x:c>
      <x:c r="G9" s="2" t="n">
        <x:v>42</x:v>
      </x:c>
      <x:c r="H9" s="2" t="n">
        <x:v>649</x:v>
      </x:c>
      <x:c r="I9" s="2" t="n">
        <x:v>23</x:v>
      </x:c>
      <x:c r="J9" s="2" t="n">
        <x:v>45</x:v>
      </x:c>
      <x:c r="K9" s="2" t="str">
        <x:v>OBS-BT-WEAPONS-001/002</x:v>
      </x:c>
      <x:c r="L9" s="2" t="str">
        <x:v>截图已选配置，非最优满改；2026-10-09</x:v>
      </x:c>
    </x:row>
    <x:row r="10" ht="23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30" customHeight="1">
      <x:c r="A12" s="8" t="str">
        <x:v>M7后坐评分</x:v>
      </x:c>
      <x:c r="B12" s="8" t="str">
        <x:v>垂直后坐倍率</x:v>
      </x:c>
      <x:c r="C12" s="8" t="str">
        <x:v>观察日期</x:v>
      </x:c>
      <x:c r="D12" s="2"/>
      <x:c r="E12" s="2"/>
      <x:c r="F12" s="2"/>
      <x:c r="G12" s="2"/>
      <x:c r="H12" s="2"/>
      <x:c r="I12" s="2"/>
      <x:c r="J12" s="2"/>
      <x:c r="K12" s="2"/>
      <x:c r="L12" s="2"/>
    </x:row>
    <x:row r="13" ht="23" customHeight="1">
      <x:c r="A13" s="2" t="n">
        <x:v>34</x:v>
      </x:c>
      <x:c r="B13" s="11" t="n">
        <x:v>1</x:v>
      </x:c>
      <x:c r="C13" s="2" t="str">
        <x:v>2026-10-07</x:v>
      </x:c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3" customHeight="1">
      <x:c r="A14" s="2" t="n">
        <x:v>35</x:v>
      </x:c>
      <x:c r="B14" s="11" t="n">
        <x:v>0.98</x:v>
      </x:c>
      <x:c r="C14" s="2" t="str">
        <x:v>2026-10-07</x:v>
      </x:c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23" customHeight="1">
      <x:c r="A15" s="2" t="n">
        <x:v>36</x:v>
      </x:c>
      <x:c r="B15" s="11" t="n">
        <x:v>0.96</x:v>
      </x:c>
      <x:c r="C15" s="2" t="str">
        <x:v>2026-10-07</x:v>
      </x:c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23" customHeight="1">
      <x:c r="A16" s="2" t="n">
        <x:v>39</x:v>
      </x:c>
      <x:c r="B16" s="11" t="n">
        <x:v>0.9</x:v>
      </x:c>
      <x:c r="C16" s="2" t="str">
        <x:v>2026-10-07</x:v>
      </x:c>
      <x:c r="D16" s="2"/>
      <x:c r="E16" s="2"/>
      <x:c r="F16" s="2"/>
      <x:c r="G16" s="2"/>
      <x:c r="H16" s="2"/>
      <x:c r="I16" s="2"/>
      <x:c r="J16" s="2"/>
      <x:c r="K16" s="2"/>
      <x:c r="L16" s="2"/>
    </x:row>
    <x:row r="17" ht="23" customHeight="1">
      <x:c r="A17" s="2" t="n">
        <x:v>42</x:v>
      </x:c>
      <x:c r="B17" s="11" t="n">
        <x:v>0.85</x:v>
      </x:c>
      <x:c r="C17" s="2" t="str">
        <x:v>2026-10-07</x:v>
      </x:c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23" customHeight="1">
      <x:c r="A18" s="2" t="n">
        <x:v>44</x:v>
      </x:c>
      <x:c r="B18" s="11" t="n">
        <x:v>0.82</x:v>
      </x:c>
      <x:c r="C18" s="2" t="str">
        <x:v>2026-10-07</x:v>
      </x:c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23" customHeight="1">
      <x:c r="A19" s="2" t="n">
        <x:v>49</x:v>
      </x:c>
      <x:c r="B19" s="11" t="n">
        <x:v>0.75</x:v>
      </x:c>
      <x:c r="C19" s="2" t="str">
        <x:v>2026-10-07</x:v>
      </x:c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3" customHeight="1">
      <x:c r="A20" s="2" t="n">
        <x:v>54</x:v>
      </x:c>
      <x:c r="B20" s="11" t="n">
        <x:v>0.7</x:v>
      </x:c>
      <x:c r="C20" s="2" t="str">
        <x:v>2026-10-07</x:v>
      </x:c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3" customHeight="1">
      <x:c r="A21" s="2" t="n">
        <x:v>64</x:v>
      </x:c>
      <x:c r="B21" s="11" t="n">
        <x:v>0.6</x:v>
      </x:c>
      <x:c r="C21" s="2" t="str">
        <x:v>2026-10-07</x:v>
      </x:c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30" customHeight="1">
      <x:c r="A24" s="8" t="str">
        <x:v>来源ID</x:v>
      </x:c>
      <x:c r="B24" s="8" t="str">
        <x:v>武器/范围</x:v>
      </x:c>
      <x:c r="C24" s="8" t="str">
        <x:v>事项</x:v>
      </x:c>
      <x:c r="D24" s="8" t="str">
        <x:v>发布日期</x:v>
      </x:c>
      <x:c r="E24" s="8" t="str">
        <x:v>来源类型</x:v>
      </x:c>
      <x:c r="F24" s="8" t="str">
        <x:v>来源链接</x:v>
      </x:c>
      <x:c r="G24" s="2"/>
      <x:c r="H24" s="2"/>
      <x:c r="I24" s="2"/>
      <x:c r="J24" s="2"/>
      <x:c r="K24" s="2"/>
      <x:c r="L24" s="2"/>
    </x:row>
    <x:row r="25" ht="23" customHeight="1">
      <x:c r="A25" s="2" t="str">
        <x:v>S01</x:v>
      </x:c>
      <x:c r="B25" s="2" t="str">
        <x:v>M4A1</x:v>
      </x:c>
      <x:c r="C25" s="2" t="str">
        <x:v>棱镜攻势</x:v>
      </x:c>
      <x:c r="D25" s="2" t="str">
        <x:v>2024-09-27</x:v>
      </x:c>
      <x:c r="E25" s="2" t="str">
        <x:v>官方</x:v>
      </x:c>
      <x:c r="F25" s="18" t="str">
        <x:v>https://www.taptap.cn/moment/588499511836412474</x:v>
      </x:c>
      <x:c r="G25" s="2"/>
      <x:c r="H25" s="2"/>
      <x:c r="I25" s="2"/>
      <x:c r="J25" s="2"/>
      <x:c r="K25" s="2"/>
      <x:c r="L25" s="2"/>
    </x:row>
    <x:row r="26" ht="23" customHeight="1">
      <x:c r="A26" s="2" t="str">
        <x:v>S02</x:v>
      </x:c>
      <x:c r="B26" s="2" t="str">
        <x:v>Vector</x:v>
      </x:c>
      <x:c r="C26" s="2" t="str">
        <x:v>美杜莎</x:v>
      </x:c>
      <x:c r="D26" s="2" t="str">
        <x:v>2024-11-21</x:v>
      </x:c>
      <x:c r="E26" s="2" t="str">
        <x:v>官方</x:v>
      </x:c>
      <x:c r="F26" s="18" t="str">
        <x:v>https://www.taptap.cn/moment/608691570673189229</x:v>
      </x:c>
      <x:c r="G26" s="2"/>
      <x:c r="H26" s="2"/>
      <x:c r="I26" s="2"/>
      <x:c r="J26" s="2"/>
      <x:c r="K26" s="2"/>
      <x:c r="L26" s="2"/>
    </x:row>
    <x:row r="27" ht="23" customHeight="1">
      <x:c r="A27" s="2" t="str">
        <x:v>S03</x:v>
      </x:c>
      <x:c r="B27" s="2" t="str">
        <x:v>SCAR-H</x:v>
      </x:c>
      <x:c r="C27" s="2" t="str">
        <x:v>电玩高手</x:v>
      </x:c>
      <x:c r="D27" s="2" t="str">
        <x:v>2025-01-10</x:v>
      </x:c>
      <x:c r="E27" s="2" t="str">
        <x:v>官方</x:v>
      </x:c>
      <x:c r="F27" s="18" t="str">
        <x:v>https://www.taptap.cn/moment/626816590981107381</x:v>
      </x:c>
      <x:c r="G27" s="2"/>
      <x:c r="H27" s="2"/>
      <x:c r="I27" s="2"/>
      <x:c r="J27" s="2"/>
      <x:c r="K27" s="2"/>
      <x:c r="L27" s="2"/>
    </x:row>
    <x:row r="28" ht="23" customHeight="1">
      <x:c r="A28" s="2" t="str">
        <x:v>S04</x:v>
      </x:c>
      <x:c r="B28" s="2" t="str">
        <x:v>K416 / QBZ95-1</x:v>
      </x:c>
      <x:c r="C28" s="2" t="str">
        <x:v>命运 / 王牌之剑</x:v>
      </x:c>
      <x:c r="D28" s="2" t="str">
        <x:v>2025-04-15</x:v>
      </x:c>
      <x:c r="E28" s="2" t="str">
        <x:v>官方</x:v>
      </x:c>
      <x:c r="F28" s="18" t="str">
        <x:v>https://www.taptap.cn/moment/661294925576406406</x:v>
      </x:c>
      <x:c r="G28" s="2"/>
      <x:c r="H28" s="2"/>
      <x:c r="I28" s="2"/>
      <x:c r="J28" s="2"/>
      <x:c r="K28" s="2"/>
      <x:c r="L28" s="2"/>
    </x:row>
    <x:row r="29" ht="23" customHeight="1">
      <x:c r="A29" s="2" t="str">
        <x:v>S05</x:v>
      </x:c>
      <x:c r="B29" s="2" t="str">
        <x:v>AUG / 腾龙</x:v>
      </x:c>
      <x:c r="C29" s="2" t="str">
        <x:v>气象感应</x:v>
      </x:c>
      <x:c r="D29" s="2" t="str">
        <x:v>2025-07-02</x:v>
      </x:c>
      <x:c r="E29" s="2" t="str">
        <x:v>官方</x:v>
      </x:c>
      <x:c r="F29" s="18" t="str">
        <x:v>https://www.taptap.cn/moment/689263451943472724</x:v>
      </x:c>
      <x:c r="G29" s="2"/>
      <x:c r="H29" s="2"/>
      <x:c r="I29" s="2"/>
      <x:c r="J29" s="2"/>
      <x:c r="K29" s="2"/>
      <x:c r="L29" s="2"/>
    </x:row>
    <x:row r="30" ht="23" customHeight="1">
      <x:c r="A30" s="2" t="str">
        <x:v>S06</x:v>
      </x:c>
      <x:c r="B30" s="2" t="str">
        <x:v>M7</x:v>
      </x:c>
      <x:c r="C30" s="2" t="str">
        <x:v>棱镜攻势S2</x:v>
      </x:c>
      <x:c r="D30" s="2" t="str">
        <x:v>2025-09-17</x:v>
      </x:c>
      <x:c r="E30" s="2" t="str">
        <x:v>官方</x:v>
      </x:c>
      <x:c r="F30" s="18" t="str">
        <x:v>https://www.taptap.cn/moment/717338145737147437</x:v>
      </x:c>
      <x:c r="G30" s="2"/>
      <x:c r="H30" s="2"/>
      <x:c r="I30" s="2"/>
      <x:c r="J30" s="2"/>
      <x:c r="K30" s="2"/>
      <x:c r="L30" s="2"/>
    </x:row>
    <x:row r="31" ht="23" customHeight="1">
      <x:c r="A31" s="2" t="str">
        <x:v>S07</x:v>
      </x:c>
      <x:c r="B31" s="2" t="str">
        <x:v>AS Val</x:v>
      </x:c>
      <x:c r="C31" s="2" t="str">
        <x:v>悬赏令</x:v>
      </x:c>
      <x:c r="D31" s="2" t="str">
        <x:v>2025-11-15</x:v>
      </x:c>
      <x:c r="E31" s="2" t="str">
        <x:v>官方</x:v>
      </x:c>
      <x:c r="F31" s="18" t="str">
        <x:v>https://www.taptap.cn/moment/738773313643351771</x:v>
      </x:c>
      <x:c r="G31" s="2"/>
      <x:c r="H31" s="2"/>
      <x:c r="I31" s="2"/>
      <x:c r="J31" s="2"/>
      <x:c r="K31" s="2"/>
      <x:c r="L31" s="2"/>
    </x:row>
    <x:row r="32" ht="23" customHeight="1">
      <x:c r="A32" s="2" t="str">
        <x:v>S08</x:v>
      </x:c>
      <x:c r="B32" s="2" t="str">
        <x:v>M250 / MP7</x:v>
      </x:c>
      <x:c r="C32" s="2" t="str">
        <x:v>电玩高手S2</x:v>
      </x:c>
      <x:c r="D32" s="2" t="str">
        <x:v>2026-01-29</x:v>
      </x:c>
      <x:c r="E32" s="2" t="str">
        <x:v>官方</x:v>
      </x:c>
      <x:c r="F32" s="18" t="str">
        <x:v>https://www.taptap.cn/moment/765900854061434327</x:v>
      </x:c>
      <x:c r="G32" s="2"/>
      <x:c r="H32" s="2"/>
      <x:c r="I32" s="2"/>
      <x:c r="J32" s="2"/>
      <x:c r="K32" s="2"/>
      <x:c r="L32" s="2"/>
    </x:row>
    <x:row r="33" ht="23" customHeight="1">
      <x:c r="A33" s="2" t="str">
        <x:v>S09</x:v>
      </x:c>
      <x:c r="B33" s="2" t="str">
        <x:v>KC17</x:v>
      </x:c>
      <x:c r="C33" s="2" t="str">
        <x:v>造物纪元</x:v>
      </x:c>
      <x:c r="D33" s="2" t="str">
        <x:v>2026-06-29</x:v>
      </x:c>
      <x:c r="E33" s="2" t="str">
        <x:v>官方修复公告确认名称</x:v>
      </x:c>
      <x:c r="F33" s="18" t="str">
        <x:v>https://www.taptap.cn/moment/820714916041196410</x:v>
      </x:c>
      <x:c r="G33" s="2"/>
      <x:c r="H33" s="2"/>
      <x:c r="I33" s="2"/>
      <x:c r="J33" s="2"/>
      <x:c r="K33" s="2"/>
      <x:c r="L33" s="2"/>
    </x:row>
    <x:row r="34" ht="23" customHeight="1">
      <x:c r="A34" s="2" t="str">
        <x:v>S10</x:v>
      </x:c>
      <x:c r="B34" s="2" t="str">
        <x:v>AKM</x:v>
      </x:c>
      <x:c r="C34" s="2" t="str">
        <x:v>群星</x:v>
      </x:c>
      <x:c r="D34" s="2" t="str">
        <x:v>2026-07-22</x:v>
      </x:c>
      <x:c r="E34" s="2" t="str">
        <x:v>官方优化公告确认名称</x:v>
      </x:c>
      <x:c r="F34" s="18" t="str">
        <x:v>https://www.taptap.cn/moment/829075004900510664</x:v>
      </x:c>
      <x:c r="G34" s="2"/>
      <x:c r="H34" s="2"/>
      <x:c r="I34" s="2"/>
      <x:c r="J34" s="2"/>
      <x:c r="K34" s="2"/>
      <x:c r="L34" s="2"/>
    </x:row>
    <x:row r="35" ht="23" customHeight="1">
      <x:c r="A35" s="2" t="str">
        <x:v>S11</x:v>
      </x:c>
      <x:c r="B35" s="2" t="str">
        <x:v>MK4</x:v>
      </x:c>
      <x:c r="C35" s="2" t="str">
        <x:v>疾光魅影</x:v>
      </x:c>
      <x:c r="D35" s="2" t="str">
        <x:v>2026-09-04</x:v>
      </x:c>
      <x:c r="E35" s="2" t="str">
        <x:v>官方系列；武器归属待核</x:v>
      </x:c>
      <x:c r="F35" s="18" t="str">
        <x:v>https://www.taptap.cn/moment/844967797007057542</x:v>
      </x:c>
      <x:c r="G35" s="2"/>
      <x:c r="H35" s="2"/>
      <x:c r="I35" s="2"/>
      <x:c r="J35" s="2"/>
      <x:c r="K35" s="2"/>
      <x:c r="L35" s="2"/>
    </x:row>
    <x:row r="36" ht="23" customHeight="1">
      <x:c r="A36" s="2" t="str">
        <x:v>S12</x:v>
      </x:c>
      <x:c r="B36" s="2" t="str">
        <x:v>MK4</x:v>
      </x:c>
      <x:c r="C36" s="2" t="str">
        <x:v>疾光魅影（名称补证）</x:v>
      </x:c>
      <x:c r="D36" s="2" t="str">
        <x:v>2026-09-04</x:v>
      </x:c>
      <x:c r="E36" s="2" t="str">
        <x:v>公众号转载，非独立统计</x:v>
      </x:c>
      <x:c r="F36" s="18" t="str">
        <x:v>https://news.17173.com/content/09042026/221840306.shtml</x:v>
      </x:c>
      <x:c r="G36" s="2"/>
      <x:c r="H36" s="2"/>
      <x:c r="I36" s="2"/>
      <x:c r="J36" s="2"/>
      <x:c r="K36" s="2"/>
      <x:c r="L36" s="2"/>
    </x:row>
    <x:row r="37" ht="23" customHeight="1">
      <x:c r="A37" s="2" t="str">
        <x:v>S13</x:v>
      </x:c>
      <x:c r="B37" s="2" t="str">
        <x:v>MK4 / M14 / MDR / M7 / AS Val</x:v>
      </x:c>
      <x:c r="C37" s="2" t="str">
        <x:v>赛季前瞻候选</x:v>
      </x:c>
      <x:c r="D37" s="2" t="str">
        <x:v>2026-08-29</x:v>
      </x:c>
      <x:c r="E37" s="2" t="str">
        <x:v>作者预估，非使用率</x:v>
      </x:c>
      <x:c r="F37" s="18" t="str">
        <x:v>https://www.bilibili.com/video/BV1qXtN6JEC7/</x:v>
      </x:c>
      <x:c r="G37" s="2"/>
      <x:c r="H37" s="2"/>
      <x:c r="I37" s="2"/>
      <x:c r="J37" s="2"/>
      <x:c r="K37" s="2"/>
      <x:c r="L37" s="2"/>
    </x:row>
    <x:row r="38" ht="23" customHeight="1">
      <x:c r="A38" s="2" t="str">
        <x:v>S14</x:v>
      </x:c>
      <x:c r="B38" s="2" t="str">
        <x:v>M14</x:v>
      </x:c>
      <x:c r="C38" s="2" t="str">
        <x:v>多种改装取舍</x:v>
      </x:c>
      <x:c r="D38" s="2" t="str">
        <x:v>2026-09-12</x:v>
      </x:c>
      <x:c r="E38" s="2" t="str">
        <x:v>作者本人配置展示，非使用率</x:v>
      </x:c>
      <x:c r="F38" s="18" t="str">
        <x:v>https://www.bilibili.com/video/BV1NpYD6KEtu/</x:v>
      </x:c>
      <x:c r="G38" s="2"/>
      <x:c r="H38" s="2"/>
      <x:c r="I38" s="2"/>
      <x:c r="J38" s="2"/>
      <x:c r="K38" s="2"/>
      <x:c r="L38" s="2"/>
    </x:row>
    <x:row r="39" ht="23" customHeight="1">
      <x:c r="A39" s="2" t="str">
        <x:v>S15</x:v>
      </x:c>
      <x:c r="B39" s="2" t="str">
        <x:v>用户</x:v>
      </x:c>
      <x:c r="C39" s="2" t="str">
        <x:v>绝密航天打架，近枪+远枪</x:v>
      </x:c>
      <x:c r="D39" s="2" t="str">
        <x:v>2026-10</x:v>
      </x:c>
      <x:c r="E39" s="2" t="str">
        <x:v>用户自述，单人经验</x:v>
      </x:c>
      <x:c r="F39" s="18" t="str">
        <x:v>本项目对话</x:v>
      </x:c>
      <x:c r="G39" s="2"/>
      <x:c r="H39" s="2"/>
      <x:c r="I39" s="2"/>
      <x:c r="J39" s="2"/>
      <x:c r="K39" s="2"/>
      <x:c r="L39" s="2"/>
    </x:row>
    <x:row r="40" ht="23" customHeight="1">
      <x:c r="A40" s="2" t="str">
        <x:v>S16</x:v>
      </x:c>
      <x:c r="B40" s="2" t="str">
        <x:v>五枪截图</x:v>
      </x:c>
      <x:c r="C40" s="2" t="str">
        <x:v>黑潮已选配置面板</x:v>
      </x:c>
      <x:c r="D40" s="2" t="str">
        <x:v>2026-10-09</x:v>
      </x:c>
      <x:c r="E40" s="2" t="str">
        <x:v>面板转录，非弹道实测</x:v>
      </x:c>
      <x:c r="F40" s="18" t="str">
        <x:v>既有 OBS-BT-WEAPONS-001/002</x:v>
      </x:c>
      <x:c r="G40" s="2"/>
      <x:c r="H40" s="2"/>
      <x:c r="I40" s="2"/>
      <x:c r="J40" s="2"/>
      <x:c r="K40" s="2"/>
      <x:c r="L40" s="2"/>
    </x:row>
    <x:row r="41" ht="23" customHeight="1">
      <x:c r="A41" s="2" t="str">
        <x:v>S17</x:v>
      </x:c>
      <x:c r="B41" s="2" t="str">
        <x:v>M7后坐</x:v>
      </x:c>
      <x:c r="C41" s="2" t="str">
        <x:v>9个正向观测点</x:v>
      </x:c>
      <x:c r="D41" s="2" t="str">
        <x:v>2026-10-07</x:v>
      </x:c>
      <x:c r="E41" s="2" t="str">
        <x:v>详细面板，非弹着实测</x:v>
      </x:c>
      <x:c r="F41" s="18" t="str">
        <x:v>既有 OBS-M7-RECOIL-001</x:v>
      </x:c>
      <x:c r="G41" s="2"/>
      <x:c r="H41" s="2"/>
      <x:c r="I41" s="2"/>
      <x:c r="J41" s="2"/>
      <x:c r="K41" s="2"/>
      <x:c r="L41" s="2"/>
    </x:row>
    <x:row r="42" ht="23" customHeight="1">
      <x:c r="A42" s="2" t="str">
        <x:v>S18</x:v>
      </x:c>
      <x:c r="B42" s="2" t="str">
        <x:v>黑潮规则</x:v>
      </x:c>
      <x:c r="C42" s="2" t="str">
        <x:v>现金上限与回合收入</x:v>
      </x:c>
      <x:c r="D42" s="2" t="str">
        <x:v>2026-10-10</x:v>
      </x:c>
      <x:c r="E42" s="2" t="str">
        <x:v>截图与用户口述</x:v>
      </x:c>
      <x:c r="F42" s="18" t="str">
        <x:v>既有 MODEL-THREE-ECON-001</x:v>
      </x:c>
      <x:c r="G42" s="2"/>
      <x:c r="H42" s="2"/>
      <x:c r="I42" s="2"/>
      <x:c r="J42" s="2"/>
      <x:c r="K42" s="2"/>
      <x:c r="L42" s="2"/>
    </x:row>
    <x:row r="43" ht="48" customHeight="1">
      <x:c r="A43" s="2" t="str">
        <x:v>S19</x:v>
      </x:c>
      <x:c r="B43" s="2" t="str">
        <x:v>CZ BREN 3</x:v>
      </x:c>
      <x:c r="C43" s="2" t="str">
        <x:v>结构、模块化与14.5英寸型号</x:v>
      </x:c>
      <x:c r="D43" s="2" t="str">
        <x:v>2026-10-12</x:v>
      </x:c>
      <x:c r="E43" s="2" t="str">
        <x:v>厂商产品页</x:v>
      </x:c>
      <x:c r="F43" s="18" t="str">
        <x:v>https://www.czfirearms.com/mle-products/select-fire-rifles/series-bren-3/cz-bren-3-556-14</x:v>
      </x:c>
      <x:c r="G43" s="2"/>
      <x:c r="H43" s="2"/>
      <x:c r="I43" s="2"/>
      <x:c r="J43" s="2"/>
      <x:c r="K43" s="2"/>
      <x:c r="L43" s="2"/>
    </x:row>
    <x:row r="44" ht="48" customHeight="1">
      <x:c r="A44" s="2" t="str">
        <x:v>S20</x:v>
      </x:c>
      <x:c r="B44" s="2" t="str">
        <x:v>CZ BREN 3</x:v>
      </x:c>
      <x:c r="C44" s="2" t="str">
        <x:v>5.56 M-LOK枪管、无弹匣重量与30发弹匣；PDF第5页</x:v>
      </x:c>
      <x:c r="D44" s="2" t="str">
        <x:v>2025</x:v>
      </x:c>
      <x:c r="E44" s="2" t="str">
        <x:v>厂商规格表</x:v>
      </x:c>
      <x:c r="F44" s="18" t="str">
        <x:v>https://czubpimstorage.blob.core.windows.net/strapi-pim/assets/SF_CZ_BREN_3_Series_MLE_2025_2ba18ce2b3.pdf</x:v>
      </x:c>
      <x:c r="G44" s="2"/>
      <x:c r="H44" s="2"/>
      <x:c r="I44" s="2"/>
      <x:c r="J44" s="2"/>
      <x:c r="K44" s="2"/>
      <x:c r="L44" s="2"/>
    </x:row>
    <x:row r="45" ht="48" customHeight="1">
      <x:c r="A45" s="2" t="str">
        <x:v>S21</x:v>
      </x:c>
      <x:c r="B45" s="2" t="str">
        <x:v>BREN 3</x:v>
      </x:c>
      <x:c r="C45" s="2" t="str">
        <x:v>尚未实装；烽火可双主枪、黑潮单主枪</x:v>
      </x:c>
      <x:c r="D45" s="2" t="str">
        <x:v>2026-10-12</x:v>
      </x:c>
      <x:c r="E45" s="2" t="str">
        <x:v>用户当前客户端确认</x:v>
      </x:c>
      <x:c r="F45" s="18" t="str">
        <x:v>本项目对话</x:v>
      </x:c>
      <x:c r="G45" s="2"/>
      <x:c r="H45" s="2"/>
      <x:c r="I45" s="2"/>
      <x:c r="J45" s="2"/>
      <x:c r="K45" s="2"/>
      <x:c r="L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30" customHeight="1">
      <x:c r="A48" s="8" t="str">
        <x:v>厂商5.56 M-LOK型号</x:v>
      </x:c>
      <x:c r="B48" s="8" t="str">
        <x:v>枪管 英寸</x:v>
      </x:c>
      <x:c r="C48" s="8" t="str">
        <x:v>枪管 mm</x:v>
      </x:c>
      <x:c r="D48" s="8" t="str">
        <x:v>无弹匣重量 kg</x:v>
      </x:c>
      <x:c r="E48" s="8" t="str">
        <x:v>标准弹匣 发</x:v>
      </x:c>
      <x:c r="F48" s="8" t="str">
        <x:v>来源</x:v>
      </x:c>
      <x:c r="G48" s="2"/>
      <x:c r="H48" s="2"/>
      <x:c r="I48" s="2"/>
      <x:c r="J48" s="2"/>
      <x:c r="K48" s="2"/>
      <x:c r="L48" s="2"/>
    </x:row>
    <x:row r="49" ht="23" customHeight="1">
      <x:c r="A49" s="2" t="str">
        <x:v>5.56 M-LOK 11英寸</x:v>
      </x:c>
      <x:c r="B49" s="2" t="n">
        <x:v>11</x:v>
      </x:c>
      <x:c r="C49" s="2" t="n">
        <x:v>283</x:v>
      </x:c>
      <x:c r="D49" s="11" t="n">
        <x:v>3.2</x:v>
      </x:c>
      <x:c r="E49" s="2" t="n">
        <x:v>30</x:v>
      </x:c>
      <x:c r="F49" s="2" t="str">
        <x:v>S20</x:v>
      </x:c>
      <x:c r="G49" s="2"/>
      <x:c r="H49" s="2"/>
      <x:c r="I49" s="2"/>
      <x:c r="J49" s="2"/>
      <x:c r="K49" s="2"/>
      <x:c r="L49" s="2"/>
    </x:row>
    <x:row r="50" ht="23" customHeight="1">
      <x:c r="A50" s="2" t="str">
        <x:v>5.56 M-LOK 14.5英寸</x:v>
      </x:c>
      <x:c r="B50" s="2" t="n">
        <x:v>14.5</x:v>
      </x:c>
      <x:c r="C50" s="2" t="n">
        <x:v>370</x:v>
      </x:c>
      <x:c r="D50" s="11" t="n">
        <x:v>3.4</x:v>
      </x:c>
      <x:c r="E50" s="2" t="n">
        <x:v>30</x:v>
      </x:c>
      <x:c r="F50" s="2" t="str">
        <x:v>S20</x:v>
      </x:c>
      <x:c r="G50" s="2"/>
      <x:c r="H50" s="2"/>
      <x:c r="I50" s="2"/>
      <x:c r="J50" s="2"/>
      <x:c r="K50" s="2"/>
      <x:c r="L50" s="2"/>
    </x:row>
    <x:row r="51" ht="23" customHeight="1">
      <x:c r="A51" s="2" t="str">
        <x:v>5.56 M-LOK 16.5英寸</x:v>
      </x:c>
      <x:c r="B51" s="2" t="n">
        <x:v>16.5</x:v>
      </x:c>
      <x:c r="C51" s="2" t="n">
        <x:v>423</x:v>
      </x:c>
      <x:c r="D51" s="11" t="n">
        <x:v>3.5</x:v>
      </x:c>
      <x:c r="E51" s="2" t="n">
        <x:v>30</x:v>
      </x:c>
      <x:c r="F51" s="2" t="str">
        <x:v>S20</x:v>
      </x:c>
      <x:c r="G51" s="2"/>
      <x:c r="H51" s="2"/>
      <x:c r="I51" s="2"/>
      <x:c r="J51" s="2"/>
      <x:c r="K51" s="2"/>
      <x:c r="L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3" customHeight="1">
      <x:c r="A53" s="2" t="str">
        <x:v>厂商重量不包含弹匣；游戏负重另设。厂商射速本轮未确认，720rpm为游戏初值。</x:v>
      </x:c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pageMargins left="0.7" right="0.7" top="0.75" bottom="0.75" header="0.3" footer="0.3"/>
</x:worksheet>
</file>